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bookViews>
    <workbookView xWindow="0" yWindow="0" windowWidth="28800" windowHeight="11745"/>
  </bookViews>
  <sheets>
    <sheet name="19.08.2022 г.  " sheetId="31" r:id="rId1"/>
    <sheet name="15.07.2022 г. " sheetId="30" r:id="rId2"/>
    <sheet name="15.06.2022 г." sheetId="29" r:id="rId3"/>
    <sheet name="18.04.2022 г." sheetId="28" r:id="rId4"/>
    <sheet name="16.03.2022 г." sheetId="27" r:id="rId5"/>
    <sheet name="24.02.2022 г. " sheetId="26" r:id="rId6"/>
    <sheet name="26.01.2022 г." sheetId="25" r:id="rId7"/>
    <sheet name="25.01.2022 г." sheetId="24" r:id="rId8"/>
    <sheet name="17.01.2022 г." sheetId="23" r:id="rId9"/>
    <sheet name="24.12.2021 г." sheetId="22" r:id="rId10"/>
    <sheet name="23.11.2021 г." sheetId="21" r:id="rId11"/>
    <sheet name="15.10.2021 г." sheetId="20" r:id="rId12"/>
    <sheet name="20.09.2021 г." sheetId="19" r:id="rId13"/>
    <sheet name="24.05.2021 г.  " sheetId="18" r:id="rId14"/>
    <sheet name="22.04.2021 г. " sheetId="17" r:id="rId15"/>
    <sheet name="23.03.2021 г." sheetId="16" r:id="rId16"/>
    <sheet name="двигала сметы вне сессии" sheetId="15" r:id="rId17"/>
    <sheet name="15.01.2021" sheetId="14" r:id="rId18"/>
    <sheet name="2021" sheetId="13" r:id="rId19"/>
  </sheets>
  <definedNames>
    <definedName name="_xlnm.Print_Area" localSheetId="17">'15.01.2021'!$A$1:$I$166</definedName>
    <definedName name="_xlnm.Print_Area" localSheetId="2">'15.06.2022 г.'!$A$1:$I$171</definedName>
    <definedName name="_xlnm.Print_Area" localSheetId="1">'15.07.2022 г. '!$A$1:$I$171</definedName>
    <definedName name="_xlnm.Print_Area" localSheetId="11">'15.10.2021 г.'!$A$1:$I$172</definedName>
    <definedName name="_xlnm.Print_Area" localSheetId="4">'16.03.2022 г.'!$A$1:$I$171</definedName>
    <definedName name="_xlnm.Print_Area" localSheetId="8">'17.01.2022 г.'!$A$1:$I$173</definedName>
    <definedName name="_xlnm.Print_Area" localSheetId="3">'18.04.2022 г.'!$A$1:$I$171</definedName>
    <definedName name="_xlnm.Print_Area" localSheetId="0">'19.08.2022 г.  '!$A$1:$I$171</definedName>
    <definedName name="_xlnm.Print_Area" localSheetId="12">'20.09.2021 г.'!$A$1:$I$172</definedName>
    <definedName name="_xlnm.Print_Area" localSheetId="18">'2021'!$A$1:$I$165</definedName>
    <definedName name="_xlnm.Print_Area" localSheetId="14">'22.04.2021 г. '!$A$1:$I$170</definedName>
    <definedName name="_xlnm.Print_Area" localSheetId="15">'23.03.2021 г.'!$A$1:$I$167</definedName>
    <definedName name="_xlnm.Print_Area" localSheetId="10">'23.11.2021 г.'!$A$1:$I$173</definedName>
    <definedName name="_xlnm.Print_Area" localSheetId="5">'24.02.2022 г. '!$A$1:$I$171</definedName>
    <definedName name="_xlnm.Print_Area" localSheetId="13">'24.05.2021 г.  '!$A$1:$I$170</definedName>
    <definedName name="_xlnm.Print_Area" localSheetId="9">'24.12.2021 г.'!$A$1:$I$173</definedName>
    <definedName name="_xlnm.Print_Area" localSheetId="7">'25.01.2022 г.'!$A$1:$I$171</definedName>
    <definedName name="_xlnm.Print_Area" localSheetId="6">'26.01.2022 г.'!$A$1:$I$171</definedName>
    <definedName name="_xlnm.Print_Area" localSheetId="16">'двигала сметы вне сессии'!$A$1:$I$166</definedName>
  </definedNames>
  <calcPr calcId="162913" iterate="1"/>
</workbook>
</file>

<file path=xl/calcChain.xml><?xml version="1.0" encoding="utf-8"?>
<calcChain xmlns="http://schemas.openxmlformats.org/spreadsheetml/2006/main">
  <c r="F102" i="31" l="1"/>
  <c r="F101" i="31"/>
  <c r="F95" i="31" s="1"/>
  <c r="F92" i="31" s="1"/>
  <c r="F49" i="31"/>
  <c r="I156" i="31"/>
  <c r="H156" i="31"/>
  <c r="G156" i="31"/>
  <c r="F156" i="31"/>
  <c r="I150" i="31"/>
  <c r="H147" i="31"/>
  <c r="G147" i="31"/>
  <c r="G146" i="31" s="1"/>
  <c r="I146" i="31"/>
  <c r="H146" i="31"/>
  <c r="F146" i="31"/>
  <c r="I143" i="31"/>
  <c r="H143" i="31"/>
  <c r="G143" i="31"/>
  <c r="F143" i="31"/>
  <c r="H138" i="31"/>
  <c r="H137" i="31"/>
  <c r="I134" i="31"/>
  <c r="I130" i="31" s="1"/>
  <c r="I123" i="31" s="1"/>
  <c r="I131" i="31"/>
  <c r="F127" i="31"/>
  <c r="H114" i="31"/>
  <c r="G114" i="31"/>
  <c r="F114" i="31"/>
  <c r="H110" i="31"/>
  <c r="G110" i="31"/>
  <c r="F110" i="31"/>
  <c r="I107" i="31"/>
  <c r="H107" i="31"/>
  <c r="G107" i="31"/>
  <c r="F107" i="31"/>
  <c r="F106" i="31"/>
  <c r="H104" i="31"/>
  <c r="G104" i="31"/>
  <c r="F104" i="31"/>
  <c r="H100" i="31"/>
  <c r="G100" i="31"/>
  <c r="G95" i="31" s="1"/>
  <c r="G92" i="31" s="1"/>
  <c r="F98" i="31"/>
  <c r="H95" i="31"/>
  <c r="H92" i="31"/>
  <c r="H90" i="31"/>
  <c r="G90" i="31"/>
  <c r="F90" i="31"/>
  <c r="H83" i="31"/>
  <c r="G83" i="31"/>
  <c r="F83" i="31"/>
  <c r="H79" i="31"/>
  <c r="G79" i="31"/>
  <c r="F79" i="31"/>
  <c r="H73" i="31"/>
  <c r="H72" i="31" s="1"/>
  <c r="G73" i="31"/>
  <c r="G72" i="31" s="1"/>
  <c r="F73" i="31"/>
  <c r="F72" i="31" s="1"/>
  <c r="H70" i="31"/>
  <c r="G70" i="31"/>
  <c r="G62" i="31" s="1"/>
  <c r="F70" i="31"/>
  <c r="H66" i="31"/>
  <c r="H63" i="31"/>
  <c r="H62" i="31" s="1"/>
  <c r="H61" i="31" s="1"/>
  <c r="F62" i="31"/>
  <c r="F53" i="31"/>
  <c r="H52" i="31"/>
  <c r="H139" i="31" s="1"/>
  <c r="G52" i="31"/>
  <c r="F52" i="31"/>
  <c r="F139" i="31" s="1"/>
  <c r="G51" i="31"/>
  <c r="F51" i="31"/>
  <c r="F138" i="31" s="1"/>
  <c r="G50" i="31"/>
  <c r="F50" i="31"/>
  <c r="F137" i="31" s="1"/>
  <c r="F48" i="31"/>
  <c r="F47" i="31"/>
  <c r="F46" i="31"/>
  <c r="F45" i="31"/>
  <c r="H44" i="31"/>
  <c r="G44" i="31"/>
  <c r="G36" i="31" s="1"/>
  <c r="F44" i="31"/>
  <c r="F42" i="31"/>
  <c r="F39" i="31"/>
  <c r="F38" i="31"/>
  <c r="I30" i="31"/>
  <c r="H30" i="31"/>
  <c r="G30" i="31"/>
  <c r="F30" i="31"/>
  <c r="I28" i="31"/>
  <c r="F26" i="31"/>
  <c r="H36" i="31" l="1"/>
  <c r="H135" i="31" s="1"/>
  <c r="G61" i="31"/>
  <c r="F36" i="31"/>
  <c r="F135" i="31" s="1"/>
  <c r="G135" i="31"/>
  <c r="G35" i="31"/>
  <c r="G28" i="31" s="1"/>
  <c r="G27" i="31" s="1"/>
  <c r="F35" i="31"/>
  <c r="F28" i="31" s="1"/>
  <c r="H35" i="31"/>
  <c r="H28" i="31" s="1"/>
  <c r="H27" i="31" s="1"/>
  <c r="F61" i="31"/>
  <c r="F102" i="30"/>
  <c r="F52" i="30"/>
  <c r="F139" i="30" s="1"/>
  <c r="F51" i="30"/>
  <c r="F138" i="30" s="1"/>
  <c r="F50" i="30"/>
  <c r="F137" i="30" s="1"/>
  <c r="F38" i="30"/>
  <c r="F53" i="30"/>
  <c r="F45" i="30"/>
  <c r="F42" i="30"/>
  <c r="I156" i="30"/>
  <c r="H156" i="30"/>
  <c r="G156" i="30"/>
  <c r="F156" i="30"/>
  <c r="I150" i="30"/>
  <c r="H147" i="30"/>
  <c r="H146" i="30" s="1"/>
  <c r="G147" i="30"/>
  <c r="I146" i="30"/>
  <c r="G146" i="30"/>
  <c r="F146" i="30"/>
  <c r="I143" i="30"/>
  <c r="H143" i="30"/>
  <c r="G143" i="30"/>
  <c r="F143" i="30"/>
  <c r="H138" i="30"/>
  <c r="H137" i="30"/>
  <c r="I134" i="30"/>
  <c r="I131" i="30"/>
  <c r="F127" i="30"/>
  <c r="H114" i="30"/>
  <c r="G114" i="30"/>
  <c r="F114" i="30"/>
  <c r="H110" i="30"/>
  <c r="G110" i="30"/>
  <c r="F110" i="30"/>
  <c r="I107" i="30"/>
  <c r="H107" i="30"/>
  <c r="G107" i="30"/>
  <c r="F107" i="30"/>
  <c r="F106" i="30"/>
  <c r="F104" i="30" s="1"/>
  <c r="H104" i="30"/>
  <c r="G104" i="30"/>
  <c r="H100" i="30"/>
  <c r="G100" i="30"/>
  <c r="G95" i="30" s="1"/>
  <c r="G92" i="30" s="1"/>
  <c r="F98" i="30"/>
  <c r="H95" i="30"/>
  <c r="H92" i="30" s="1"/>
  <c r="H90" i="30"/>
  <c r="G90" i="30"/>
  <c r="F90" i="30"/>
  <c r="H83" i="30"/>
  <c r="G83" i="30"/>
  <c r="F83" i="30"/>
  <c r="F80" i="30"/>
  <c r="F79" i="30" s="1"/>
  <c r="H79" i="30"/>
  <c r="G79" i="30"/>
  <c r="H73" i="30"/>
  <c r="H72" i="30" s="1"/>
  <c r="G73" i="30"/>
  <c r="G72" i="30" s="1"/>
  <c r="F73" i="30"/>
  <c r="F72" i="30" s="1"/>
  <c r="H70" i="30"/>
  <c r="G70" i="30"/>
  <c r="F70" i="30"/>
  <c r="F62" i="30" s="1"/>
  <c r="H66" i="30"/>
  <c r="H63" i="30"/>
  <c r="G62" i="30"/>
  <c r="H52" i="30"/>
  <c r="H139" i="30" s="1"/>
  <c r="G52" i="30"/>
  <c r="G51" i="30"/>
  <c r="G50" i="30"/>
  <c r="F49" i="30"/>
  <c r="F48" i="30"/>
  <c r="F47" i="30"/>
  <c r="F46" i="30"/>
  <c r="H44" i="30"/>
  <c r="G44" i="30"/>
  <c r="F44" i="30"/>
  <c r="F39" i="30"/>
  <c r="H36" i="30"/>
  <c r="H35" i="30" s="1"/>
  <c r="G36" i="30"/>
  <c r="G35" i="30" s="1"/>
  <c r="I30" i="30"/>
  <c r="H30" i="30"/>
  <c r="G30" i="30"/>
  <c r="F30" i="30"/>
  <c r="I28" i="30"/>
  <c r="F26" i="30"/>
  <c r="G61" i="30" l="1"/>
  <c r="H62" i="30"/>
  <c r="G28" i="30"/>
  <c r="G27" i="30" s="1"/>
  <c r="H28" i="30"/>
  <c r="I130" i="30"/>
  <c r="I123" i="30" s="1"/>
  <c r="F95" i="30"/>
  <c r="F92" i="30" s="1"/>
  <c r="F27" i="31"/>
  <c r="F134" i="31"/>
  <c r="F132" i="31" s="1"/>
  <c r="F131" i="31" s="1"/>
  <c r="F130" i="31" s="1"/>
  <c r="F136" i="31"/>
  <c r="H134" i="31"/>
  <c r="H132" i="31" s="1"/>
  <c r="H131" i="31" s="1"/>
  <c r="H130" i="31" s="1"/>
  <c r="H136" i="31"/>
  <c r="G136" i="31"/>
  <c r="G134" i="31"/>
  <c r="G132" i="31" s="1"/>
  <c r="G131" i="31" s="1"/>
  <c r="G130" i="31" s="1"/>
  <c r="F36" i="30"/>
  <c r="F135" i="30" s="1"/>
  <c r="F61" i="30"/>
  <c r="H61" i="30"/>
  <c r="H27" i="30" s="1"/>
  <c r="G135" i="30"/>
  <c r="H135" i="30"/>
  <c r="F100" i="29"/>
  <c r="F99" i="29"/>
  <c r="F80" i="29"/>
  <c r="F66" i="29"/>
  <c r="F63" i="29"/>
  <c r="F31" i="29"/>
  <c r="F42" i="29"/>
  <c r="F38" i="29"/>
  <c r="G153" i="31" l="1"/>
  <c r="G150" i="31" s="1"/>
  <c r="G123" i="31"/>
  <c r="H154" i="31"/>
  <c r="H150" i="31" s="1"/>
  <c r="H123" i="31"/>
  <c r="F123" i="31"/>
  <c r="F152" i="31"/>
  <c r="F150" i="31" s="1"/>
  <c r="F35" i="30"/>
  <c r="F28" i="30" s="1"/>
  <c r="F27" i="30" s="1"/>
  <c r="F134" i="30"/>
  <c r="F132" i="30" s="1"/>
  <c r="F131" i="30" s="1"/>
  <c r="F130" i="30" s="1"/>
  <c r="F136" i="30"/>
  <c r="H134" i="30"/>
  <c r="H132" i="30" s="1"/>
  <c r="H131" i="30" s="1"/>
  <c r="H130" i="30" s="1"/>
  <c r="H136" i="30"/>
  <c r="G136" i="30"/>
  <c r="G134" i="30"/>
  <c r="G132" i="30" s="1"/>
  <c r="G131" i="30" s="1"/>
  <c r="G130" i="30" s="1"/>
  <c r="F106" i="29"/>
  <c r="F102" i="29"/>
  <c r="F98" i="29"/>
  <c r="F49" i="29"/>
  <c r="F47" i="29"/>
  <c r="F46" i="29"/>
  <c r="I156" i="29"/>
  <c r="H156" i="29"/>
  <c r="G156" i="29"/>
  <c r="F156" i="29"/>
  <c r="I150" i="29"/>
  <c r="H147" i="29"/>
  <c r="H146" i="29" s="1"/>
  <c r="G147" i="29"/>
  <c r="G146" i="29" s="1"/>
  <c r="I146" i="29"/>
  <c r="F146" i="29"/>
  <c r="I143" i="29"/>
  <c r="H143" i="29"/>
  <c r="G143" i="29"/>
  <c r="F143" i="29"/>
  <c r="H138" i="29"/>
  <c r="H137" i="29"/>
  <c r="I134" i="29"/>
  <c r="I131" i="29"/>
  <c r="I130" i="29" s="1"/>
  <c r="I123" i="29" s="1"/>
  <c r="F127" i="29"/>
  <c r="H114" i="29"/>
  <c r="G114" i="29"/>
  <c r="F114" i="29"/>
  <c r="H110" i="29"/>
  <c r="G110" i="29"/>
  <c r="F110" i="29"/>
  <c r="I107" i="29"/>
  <c r="H107" i="29"/>
  <c r="G107" i="29"/>
  <c r="F107" i="29"/>
  <c r="H104" i="29"/>
  <c r="G104" i="29"/>
  <c r="G92" i="29" s="1"/>
  <c r="F104" i="29"/>
  <c r="H100" i="29"/>
  <c r="G100" i="29"/>
  <c r="H95" i="29"/>
  <c r="H92" i="29" s="1"/>
  <c r="G95" i="29"/>
  <c r="F95" i="29"/>
  <c r="F92" i="29" s="1"/>
  <c r="H90" i="29"/>
  <c r="G90" i="29"/>
  <c r="F90" i="29"/>
  <c r="H83" i="29"/>
  <c r="G83" i="29"/>
  <c r="F83" i="29"/>
  <c r="H79" i="29"/>
  <c r="G79" i="29"/>
  <c r="F79" i="29"/>
  <c r="H73" i="29"/>
  <c r="G73" i="29"/>
  <c r="G72" i="29" s="1"/>
  <c r="F73" i="29"/>
  <c r="H72" i="29"/>
  <c r="F72" i="29"/>
  <c r="H70" i="29"/>
  <c r="G70" i="29"/>
  <c r="G62" i="29" s="1"/>
  <c r="F70" i="29"/>
  <c r="F62" i="29" s="1"/>
  <c r="H66" i="29"/>
  <c r="H63" i="29"/>
  <c r="H62" i="29" s="1"/>
  <c r="H52" i="29"/>
  <c r="H139" i="29" s="1"/>
  <c r="G52" i="29"/>
  <c r="F52" i="29"/>
  <c r="F139" i="29" s="1"/>
  <c r="G51" i="29"/>
  <c r="F51" i="29"/>
  <c r="F138" i="29" s="1"/>
  <c r="G50" i="29"/>
  <c r="F50" i="29"/>
  <c r="F137" i="29" s="1"/>
  <c r="F48" i="29"/>
  <c r="F45" i="29"/>
  <c r="H44" i="29"/>
  <c r="G44" i="29"/>
  <c r="G36" i="29" s="1"/>
  <c r="G35" i="29" s="1"/>
  <c r="F44" i="29"/>
  <c r="F39" i="29"/>
  <c r="I30" i="29"/>
  <c r="H30" i="29"/>
  <c r="G30" i="29"/>
  <c r="F30" i="29"/>
  <c r="I28" i="29"/>
  <c r="F26" i="29"/>
  <c r="G28" i="29" l="1"/>
  <c r="G27" i="29" s="1"/>
  <c r="F36" i="29"/>
  <c r="F135" i="29" s="1"/>
  <c r="F136" i="29" s="1"/>
  <c r="G61" i="29"/>
  <c r="H154" i="30"/>
  <c r="H150" i="30" s="1"/>
  <c r="H123" i="30"/>
  <c r="G153" i="30"/>
  <c r="G150" i="30" s="1"/>
  <c r="G123" i="30"/>
  <c r="F123" i="30"/>
  <c r="F152" i="30"/>
  <c r="F150" i="30" s="1"/>
  <c r="F61" i="29"/>
  <c r="H61" i="29"/>
  <c r="F35" i="29"/>
  <c r="F28" i="29" s="1"/>
  <c r="G135" i="29"/>
  <c r="H36" i="29"/>
  <c r="F48" i="28"/>
  <c r="F45" i="28"/>
  <c r="I156" i="28"/>
  <c r="H156" i="28"/>
  <c r="G156" i="28"/>
  <c r="F156" i="28"/>
  <c r="I150" i="28"/>
  <c r="H147" i="28"/>
  <c r="G147" i="28"/>
  <c r="G146" i="28" s="1"/>
  <c r="I146" i="28"/>
  <c r="H146" i="28"/>
  <c r="F146" i="28"/>
  <c r="I143" i="28"/>
  <c r="H143" i="28"/>
  <c r="G143" i="28"/>
  <c r="F143" i="28"/>
  <c r="H138" i="28"/>
  <c r="H137" i="28"/>
  <c r="I134" i="28"/>
  <c r="I131" i="28"/>
  <c r="F127" i="28"/>
  <c r="H114" i="28"/>
  <c r="G114" i="28"/>
  <c r="F114" i="28"/>
  <c r="H110" i="28"/>
  <c r="G110" i="28"/>
  <c r="F110" i="28"/>
  <c r="I107" i="28"/>
  <c r="H107" i="28"/>
  <c r="G107" i="28"/>
  <c r="F107" i="28"/>
  <c r="F104" i="28"/>
  <c r="H104" i="28"/>
  <c r="G104" i="28"/>
  <c r="H100" i="28"/>
  <c r="H95" i="28" s="1"/>
  <c r="H92" i="28" s="1"/>
  <c r="G100" i="28"/>
  <c r="G95" i="28" s="1"/>
  <c r="G92" i="28" s="1"/>
  <c r="F95" i="28"/>
  <c r="H90" i="28"/>
  <c r="G90" i="28"/>
  <c r="F90" i="28"/>
  <c r="H83" i="28"/>
  <c r="G83" i="28"/>
  <c r="F83" i="28"/>
  <c r="H79" i="28"/>
  <c r="G79" i="28"/>
  <c r="F79" i="28"/>
  <c r="H73" i="28"/>
  <c r="H72" i="28" s="1"/>
  <c r="G73" i="28"/>
  <c r="G72" i="28" s="1"/>
  <c r="F73" i="28"/>
  <c r="F72" i="28" s="1"/>
  <c r="H70" i="28"/>
  <c r="G70" i="28"/>
  <c r="G62" i="28" s="1"/>
  <c r="F70" i="28"/>
  <c r="H66" i="28"/>
  <c r="H63" i="28"/>
  <c r="H62" i="28" s="1"/>
  <c r="H61" i="28" s="1"/>
  <c r="F62" i="28"/>
  <c r="H52" i="28"/>
  <c r="H139" i="28" s="1"/>
  <c r="G52" i="28"/>
  <c r="F52" i="28"/>
  <c r="F139" i="28" s="1"/>
  <c r="G51" i="28"/>
  <c r="F51" i="28"/>
  <c r="F138" i="28" s="1"/>
  <c r="G50" i="28"/>
  <c r="F50" i="28"/>
  <c r="F137" i="28" s="1"/>
  <c r="F49" i="28"/>
  <c r="F47" i="28"/>
  <c r="H44" i="28"/>
  <c r="H36" i="28" s="1"/>
  <c r="H135" i="28" s="1"/>
  <c r="G44" i="28"/>
  <c r="F44" i="28"/>
  <c r="F39" i="28"/>
  <c r="F38" i="28"/>
  <c r="F36" i="28" s="1"/>
  <c r="F31" i="28"/>
  <c r="I30" i="28"/>
  <c r="H30" i="28"/>
  <c r="G30" i="28"/>
  <c r="F30" i="28"/>
  <c r="I28" i="28"/>
  <c r="F26" i="28"/>
  <c r="G36" i="28" l="1"/>
  <c r="G35" i="28" s="1"/>
  <c r="G28" i="28" s="1"/>
  <c r="G27" i="28" s="1"/>
  <c r="G61" i="28"/>
  <c r="I130" i="28"/>
  <c r="I123" i="28" s="1"/>
  <c r="F27" i="29"/>
  <c r="G136" i="29"/>
  <c r="G134" i="29"/>
  <c r="G132" i="29" s="1"/>
  <c r="G131" i="29" s="1"/>
  <c r="G130" i="29" s="1"/>
  <c r="H135" i="29"/>
  <c r="H35" i="29"/>
  <c r="H28" i="29" s="1"/>
  <c r="H27" i="29" s="1"/>
  <c r="F134" i="29"/>
  <c r="F132" i="29" s="1"/>
  <c r="G135" i="28"/>
  <c r="F135" i="28"/>
  <c r="F35" i="28"/>
  <c r="F28" i="28" s="1"/>
  <c r="H134" i="28"/>
  <c r="H132" i="28" s="1"/>
  <c r="H131" i="28" s="1"/>
  <c r="H130" i="28" s="1"/>
  <c r="H136" i="28"/>
  <c r="F92" i="28"/>
  <c r="F61" i="28" s="1"/>
  <c r="H35" i="28"/>
  <c r="H28" i="28" s="1"/>
  <c r="H27" i="28" s="1"/>
  <c r="F131" i="29" l="1"/>
  <c r="G153" i="29"/>
  <c r="G150" i="29" s="1"/>
  <c r="G123" i="29"/>
  <c r="H134" i="29"/>
  <c r="H132" i="29" s="1"/>
  <c r="H131" i="29" s="1"/>
  <c r="H130" i="29" s="1"/>
  <c r="H136" i="29"/>
  <c r="H154" i="28"/>
  <c r="H150" i="28" s="1"/>
  <c r="H123" i="28"/>
  <c r="F27" i="28"/>
  <c r="G136" i="28"/>
  <c r="G134" i="28"/>
  <c r="G132" i="28" s="1"/>
  <c r="G131" i="28" s="1"/>
  <c r="G130" i="28" s="1"/>
  <c r="F134" i="28"/>
  <c r="F132" i="28" s="1"/>
  <c r="F131" i="28" s="1"/>
  <c r="F130" i="28" s="1"/>
  <c r="F136" i="28"/>
  <c r="F106" i="27"/>
  <c r="F104" i="27" s="1"/>
  <c r="F44" i="27"/>
  <c r="F31" i="27"/>
  <c r="F30" i="27" s="1"/>
  <c r="I156" i="27"/>
  <c r="H156" i="27"/>
  <c r="G156" i="27"/>
  <c r="F156" i="27"/>
  <c r="I150" i="27"/>
  <c r="H147" i="27"/>
  <c r="H146" i="27" s="1"/>
  <c r="G147" i="27"/>
  <c r="G146" i="27" s="1"/>
  <c r="I146" i="27"/>
  <c r="F146" i="27"/>
  <c r="I143" i="27"/>
  <c r="H143" i="27"/>
  <c r="G143" i="27"/>
  <c r="F143" i="27"/>
  <c r="H138" i="27"/>
  <c r="H137" i="27"/>
  <c r="I134" i="27"/>
  <c r="I130" i="27" s="1"/>
  <c r="I123" i="27" s="1"/>
  <c r="I131" i="27"/>
  <c r="F127" i="27"/>
  <c r="H114" i="27"/>
  <c r="G114" i="27"/>
  <c r="F114" i="27"/>
  <c r="H110" i="27"/>
  <c r="G110" i="27"/>
  <c r="F110" i="27"/>
  <c r="I107" i="27"/>
  <c r="H107" i="27"/>
  <c r="G107" i="27"/>
  <c r="F107" i="27"/>
  <c r="H104" i="27"/>
  <c r="G104" i="27"/>
  <c r="H100" i="27"/>
  <c r="H95" i="27" s="1"/>
  <c r="H92" i="27" s="1"/>
  <c r="G100" i="27"/>
  <c r="G95" i="27" s="1"/>
  <c r="F95" i="27"/>
  <c r="H90" i="27"/>
  <c r="G90" i="27"/>
  <c r="F90" i="27"/>
  <c r="H83" i="27"/>
  <c r="G83" i="27"/>
  <c r="F83" i="27"/>
  <c r="H79" i="27"/>
  <c r="G79" i="27"/>
  <c r="F79" i="27"/>
  <c r="H73" i="27"/>
  <c r="H72" i="27" s="1"/>
  <c r="G73" i="27"/>
  <c r="F73" i="27"/>
  <c r="F72" i="27" s="1"/>
  <c r="G72" i="27"/>
  <c r="H70" i="27"/>
  <c r="G70" i="27"/>
  <c r="F70" i="27"/>
  <c r="F62" i="27" s="1"/>
  <c r="H66" i="27"/>
  <c r="H63" i="27"/>
  <c r="H62" i="27" s="1"/>
  <c r="H61" i="27" s="1"/>
  <c r="G62" i="27"/>
  <c r="H52" i="27"/>
  <c r="H139" i="27" s="1"/>
  <c r="G52" i="27"/>
  <c r="F52" i="27"/>
  <c r="F139" i="27" s="1"/>
  <c r="G51" i="27"/>
  <c r="F51" i="27"/>
  <c r="F138" i="27" s="1"/>
  <c r="G50" i="27"/>
  <c r="G36" i="27" s="1"/>
  <c r="G35" i="27" s="1"/>
  <c r="F50" i="27"/>
  <c r="F137" i="27" s="1"/>
  <c r="F49" i="27"/>
  <c r="F47" i="27"/>
  <c r="H44" i="27"/>
  <c r="G44" i="27"/>
  <c r="F39" i="27"/>
  <c r="F38" i="27"/>
  <c r="H36" i="27"/>
  <c r="H35" i="27" s="1"/>
  <c r="I30" i="27"/>
  <c r="H30" i="27"/>
  <c r="G30" i="27"/>
  <c r="I28" i="27"/>
  <c r="F26" i="27"/>
  <c r="G61" i="27" l="1"/>
  <c r="G92" i="27"/>
  <c r="F130" i="29"/>
  <c r="H154" i="29"/>
  <c r="H150" i="29" s="1"/>
  <c r="H123" i="29"/>
  <c r="F123" i="28"/>
  <c r="F152" i="28"/>
  <c r="F150" i="28" s="1"/>
  <c r="G153" i="28"/>
  <c r="G150" i="28" s="1"/>
  <c r="G123" i="28"/>
  <c r="F92" i="27"/>
  <c r="F61" i="27" s="1"/>
  <c r="F36" i="27"/>
  <c r="F135" i="27" s="1"/>
  <c r="G28" i="27"/>
  <c r="H28" i="27"/>
  <c r="H27" i="27" s="1"/>
  <c r="F35" i="27"/>
  <c r="F28" i="27" s="1"/>
  <c r="G135" i="27"/>
  <c r="H135" i="27"/>
  <c r="H66" i="26"/>
  <c r="H63" i="26"/>
  <c r="H100" i="26"/>
  <c r="H95" i="26" s="1"/>
  <c r="G100" i="26"/>
  <c r="G95" i="26" s="1"/>
  <c r="H52" i="26"/>
  <c r="H44" i="26"/>
  <c r="H36" i="26" s="1"/>
  <c r="H35" i="26" s="1"/>
  <c r="H28" i="26" s="1"/>
  <c r="G50" i="26"/>
  <c r="G51" i="26"/>
  <c r="G52" i="26"/>
  <c r="G44" i="26"/>
  <c r="F39" i="26"/>
  <c r="F38" i="26"/>
  <c r="F47" i="26"/>
  <c r="F50" i="26"/>
  <c r="F137" i="26" s="1"/>
  <c r="F51" i="26"/>
  <c r="F138" i="26" s="1"/>
  <c r="F52" i="26"/>
  <c r="F49" i="26"/>
  <c r="F44" i="26"/>
  <c r="I156" i="26"/>
  <c r="H156" i="26"/>
  <c r="G156" i="26"/>
  <c r="F156" i="26"/>
  <c r="I150" i="26"/>
  <c r="H147" i="26"/>
  <c r="H146" i="26" s="1"/>
  <c r="G147" i="26"/>
  <c r="I146" i="26"/>
  <c r="G146" i="26"/>
  <c r="F146" i="26"/>
  <c r="I143" i="26"/>
  <c r="H143" i="26"/>
  <c r="G143" i="26"/>
  <c r="F143" i="26"/>
  <c r="H139" i="26"/>
  <c r="H138" i="26"/>
  <c r="H137" i="26"/>
  <c r="I134" i="26"/>
  <c r="I131" i="26"/>
  <c r="I130" i="26"/>
  <c r="I123" i="26" s="1"/>
  <c r="F127" i="26"/>
  <c r="H114" i="26"/>
  <c r="G114" i="26"/>
  <c r="F114" i="26"/>
  <c r="H110" i="26"/>
  <c r="G110" i="26"/>
  <c r="F110" i="26"/>
  <c r="I107" i="26"/>
  <c r="H107" i="26"/>
  <c r="G107" i="26"/>
  <c r="F107" i="26"/>
  <c r="H104" i="26"/>
  <c r="G104" i="26"/>
  <c r="F104" i="26"/>
  <c r="F95" i="26"/>
  <c r="H90" i="26"/>
  <c r="G90" i="26"/>
  <c r="F90" i="26"/>
  <c r="H83" i="26"/>
  <c r="G83" i="26"/>
  <c r="F83" i="26"/>
  <c r="H79" i="26"/>
  <c r="G79" i="26"/>
  <c r="F79" i="26"/>
  <c r="H73" i="26"/>
  <c r="H72" i="26" s="1"/>
  <c r="G73" i="26"/>
  <c r="G72" i="26" s="1"/>
  <c r="F73" i="26"/>
  <c r="F72" i="26"/>
  <c r="H70" i="26"/>
  <c r="G70" i="26"/>
  <c r="F70" i="26"/>
  <c r="F62" i="26" s="1"/>
  <c r="G62" i="26"/>
  <c r="I30" i="26"/>
  <c r="H30" i="26"/>
  <c r="G30" i="26"/>
  <c r="F30" i="26"/>
  <c r="I28" i="26"/>
  <c r="F26" i="26"/>
  <c r="G92" i="26" l="1"/>
  <c r="G61" i="26" s="1"/>
  <c r="F152" i="29"/>
  <c r="F150" i="29" s="1"/>
  <c r="F123" i="29"/>
  <c r="F92" i="26"/>
  <c r="H92" i="26"/>
  <c r="G27" i="27"/>
  <c r="F27" i="27"/>
  <c r="F134" i="27"/>
  <c r="F132" i="27" s="1"/>
  <c r="F131" i="27" s="1"/>
  <c r="F130" i="27" s="1"/>
  <c r="F136" i="27"/>
  <c r="H134" i="27"/>
  <c r="H132" i="27" s="1"/>
  <c r="H131" i="27" s="1"/>
  <c r="H130" i="27" s="1"/>
  <c r="H136" i="27"/>
  <c r="G136" i="27"/>
  <c r="G134" i="27"/>
  <c r="G132" i="27" s="1"/>
  <c r="G131" i="27" s="1"/>
  <c r="G130" i="27" s="1"/>
  <c r="H62" i="26"/>
  <c r="H61" i="26"/>
  <c r="H27" i="26" s="1"/>
  <c r="F61" i="26"/>
  <c r="G36" i="26"/>
  <c r="G35" i="26" s="1"/>
  <c r="G28" i="26" s="1"/>
  <c r="F36" i="26"/>
  <c r="F135" i="26" s="1"/>
  <c r="F134" i="26" s="1"/>
  <c r="F132" i="26" s="1"/>
  <c r="F131" i="26" s="1"/>
  <c r="F130" i="26" s="1"/>
  <c r="F139" i="26"/>
  <c r="H135" i="26"/>
  <c r="F139" i="25"/>
  <c r="F138" i="25"/>
  <c r="F137" i="25"/>
  <c r="F139" i="24"/>
  <c r="F138" i="24"/>
  <c r="F137" i="24"/>
  <c r="G153" i="27" l="1"/>
  <c r="G150" i="27" s="1"/>
  <c r="G123" i="27"/>
  <c r="F123" i="27"/>
  <c r="F152" i="27"/>
  <c r="F150" i="27" s="1"/>
  <c r="H154" i="27"/>
  <c r="H150" i="27" s="1"/>
  <c r="H123" i="27"/>
  <c r="G27" i="26"/>
  <c r="G135" i="26"/>
  <c r="G136" i="26" s="1"/>
  <c r="F136" i="26"/>
  <c r="F35" i="26"/>
  <c r="F28" i="26" s="1"/>
  <c r="F27" i="26" s="1"/>
  <c r="F123" i="26"/>
  <c r="F152" i="26"/>
  <c r="F150" i="26" s="1"/>
  <c r="H134" i="26"/>
  <c r="H132" i="26" s="1"/>
  <c r="H131" i="26" s="1"/>
  <c r="H130" i="26" s="1"/>
  <c r="H136" i="26"/>
  <c r="G134" i="26"/>
  <c r="G132" i="26" s="1"/>
  <c r="G131" i="26" s="1"/>
  <c r="G130" i="26" s="1"/>
  <c r="F100" i="25"/>
  <c r="F95" i="25" s="1"/>
  <c r="F44" i="25"/>
  <c r="F36" i="25" s="1"/>
  <c r="F135" i="25" s="1"/>
  <c r="I156" i="25"/>
  <c r="H156" i="25"/>
  <c r="G156" i="25"/>
  <c r="F156" i="25"/>
  <c r="I150" i="25"/>
  <c r="H147" i="25"/>
  <c r="H146" i="25" s="1"/>
  <c r="G147" i="25"/>
  <c r="I146" i="25"/>
  <c r="G146" i="25"/>
  <c r="F146" i="25"/>
  <c r="I143" i="25"/>
  <c r="H143" i="25"/>
  <c r="G143" i="25"/>
  <c r="F143" i="25"/>
  <c r="H139" i="25"/>
  <c r="H138" i="25"/>
  <c r="H137" i="25"/>
  <c r="I134" i="25"/>
  <c r="I131" i="25"/>
  <c r="I130" i="25" s="1"/>
  <c r="I123" i="25" s="1"/>
  <c r="F127" i="25"/>
  <c r="H114" i="25"/>
  <c r="G114" i="25"/>
  <c r="F114" i="25"/>
  <c r="H110" i="25"/>
  <c r="G110" i="25"/>
  <c r="F110" i="25"/>
  <c r="I107" i="25"/>
  <c r="H107" i="25"/>
  <c r="G107" i="25"/>
  <c r="F107" i="25"/>
  <c r="H104" i="25"/>
  <c r="G104" i="25"/>
  <c r="F104" i="25"/>
  <c r="H95" i="25"/>
  <c r="H92" i="25" s="1"/>
  <c r="G95" i="25"/>
  <c r="G92" i="25"/>
  <c r="H90" i="25"/>
  <c r="G90" i="25"/>
  <c r="F90" i="25"/>
  <c r="H83" i="25"/>
  <c r="G83" i="25"/>
  <c r="F83" i="25"/>
  <c r="H79" i="25"/>
  <c r="G79" i="25"/>
  <c r="F79" i="25"/>
  <c r="H73" i="25"/>
  <c r="H72" i="25" s="1"/>
  <c r="G73" i="25"/>
  <c r="G72" i="25" s="1"/>
  <c r="F73" i="25"/>
  <c r="F72" i="25"/>
  <c r="H70" i="25"/>
  <c r="G70" i="25"/>
  <c r="G62" i="25" s="1"/>
  <c r="G61" i="25" s="1"/>
  <c r="F70" i="25"/>
  <c r="H62" i="25"/>
  <c r="F62" i="25"/>
  <c r="H36" i="25"/>
  <c r="H135" i="25" s="1"/>
  <c r="G36" i="25"/>
  <c r="G135" i="25" s="1"/>
  <c r="H35" i="25"/>
  <c r="I30" i="25"/>
  <c r="I28" i="25" s="1"/>
  <c r="H30" i="25"/>
  <c r="G30" i="25"/>
  <c r="F30" i="25"/>
  <c r="F26" i="25"/>
  <c r="G27" i="25" l="1"/>
  <c r="H61" i="25"/>
  <c r="H28" i="25"/>
  <c r="G35" i="25"/>
  <c r="G28" i="25" s="1"/>
  <c r="H154" i="26"/>
  <c r="H150" i="26" s="1"/>
  <c r="H123" i="26"/>
  <c r="G153" i="26"/>
  <c r="G150" i="26" s="1"/>
  <c r="G123" i="26"/>
  <c r="F92" i="25"/>
  <c r="F61" i="25" s="1"/>
  <c r="G136" i="25"/>
  <c r="G134" i="25"/>
  <c r="G132" i="25" s="1"/>
  <c r="G131" i="25" s="1"/>
  <c r="G130" i="25" s="1"/>
  <c r="H134" i="25"/>
  <c r="H132" i="25" s="1"/>
  <c r="H131" i="25" s="1"/>
  <c r="H130" i="25" s="1"/>
  <c r="H136" i="25"/>
  <c r="H27" i="25"/>
  <c r="F134" i="25"/>
  <c r="F136" i="25"/>
  <c r="F35" i="25"/>
  <c r="F28" i="25" s="1"/>
  <c r="F26" i="24"/>
  <c r="I156" i="24"/>
  <c r="H156" i="24"/>
  <c r="G156" i="24"/>
  <c r="F156" i="24"/>
  <c r="I150" i="24"/>
  <c r="H147" i="24"/>
  <c r="H146" i="24" s="1"/>
  <c r="G147" i="24"/>
  <c r="G146" i="24" s="1"/>
  <c r="I146" i="24"/>
  <c r="F146" i="24"/>
  <c r="I143" i="24"/>
  <c r="H143" i="24"/>
  <c r="G143" i="24"/>
  <c r="F143" i="24"/>
  <c r="H139" i="24"/>
  <c r="H138" i="24"/>
  <c r="H137" i="24"/>
  <c r="I134" i="24"/>
  <c r="I131" i="24"/>
  <c r="F127" i="24"/>
  <c r="F114" i="24"/>
  <c r="H114" i="24"/>
  <c r="G114" i="24"/>
  <c r="H110" i="24"/>
  <c r="G110" i="24"/>
  <c r="F110" i="24"/>
  <c r="I107" i="24"/>
  <c r="H107" i="24"/>
  <c r="G107" i="24"/>
  <c r="F107" i="24"/>
  <c r="H104" i="24"/>
  <c r="G104" i="24"/>
  <c r="F104" i="24"/>
  <c r="G95" i="24"/>
  <c r="F95" i="24"/>
  <c r="H90" i="24"/>
  <c r="G90" i="24"/>
  <c r="F90" i="24"/>
  <c r="H83" i="24"/>
  <c r="G83" i="24"/>
  <c r="F83" i="24"/>
  <c r="H79" i="24"/>
  <c r="G79" i="24"/>
  <c r="F79" i="24"/>
  <c r="H73" i="24"/>
  <c r="H72" i="24" s="1"/>
  <c r="G73" i="24"/>
  <c r="G72" i="24" s="1"/>
  <c r="F73" i="24"/>
  <c r="F72" i="24" s="1"/>
  <c r="H70" i="24"/>
  <c r="G70" i="24"/>
  <c r="G62" i="24" s="1"/>
  <c r="F70" i="24"/>
  <c r="H62" i="24"/>
  <c r="F36" i="24"/>
  <c r="H36" i="24"/>
  <c r="H135" i="24" s="1"/>
  <c r="G36" i="24"/>
  <c r="G35" i="24" s="1"/>
  <c r="H30" i="24"/>
  <c r="G30" i="24"/>
  <c r="I30" i="24"/>
  <c r="I28" i="24" s="1"/>
  <c r="F30" i="24"/>
  <c r="I130" i="24" l="1"/>
  <c r="I123" i="24" s="1"/>
  <c r="F132" i="25"/>
  <c r="F131" i="25" s="1"/>
  <c r="F130" i="25" s="1"/>
  <c r="F27" i="25"/>
  <c r="F123" i="25"/>
  <c r="F152" i="25"/>
  <c r="F150" i="25" s="1"/>
  <c r="H154" i="25"/>
  <c r="H150" i="25" s="1"/>
  <c r="H123" i="25"/>
  <c r="G153" i="25"/>
  <c r="G150" i="25" s="1"/>
  <c r="G123" i="25"/>
  <c r="H95" i="24"/>
  <c r="H92" i="24" s="1"/>
  <c r="H61" i="24" s="1"/>
  <c r="F92" i="24"/>
  <c r="G92" i="24"/>
  <c r="G61" i="24" s="1"/>
  <c r="F62" i="24"/>
  <c r="G135" i="24"/>
  <c r="G28" i="24"/>
  <c r="H134" i="24"/>
  <c r="H136" i="24"/>
  <c r="F135" i="24"/>
  <c r="F35" i="24"/>
  <c r="F28" i="24" s="1"/>
  <c r="H35" i="24"/>
  <c r="H28" i="24" s="1"/>
  <c r="I158" i="23"/>
  <c r="H158" i="23"/>
  <c r="G158" i="23"/>
  <c r="F158" i="23"/>
  <c r="I152" i="23"/>
  <c r="H149" i="23"/>
  <c r="H148" i="23" s="1"/>
  <c r="G149" i="23"/>
  <c r="G148" i="23" s="1"/>
  <c r="I148" i="23"/>
  <c r="F148" i="23"/>
  <c r="I145" i="23"/>
  <c r="H145" i="23"/>
  <c r="G145" i="23"/>
  <c r="F145" i="23"/>
  <c r="H141" i="23"/>
  <c r="H140" i="23"/>
  <c r="H139" i="23"/>
  <c r="F139" i="23"/>
  <c r="I136" i="23"/>
  <c r="I133" i="23"/>
  <c r="I132" i="23"/>
  <c r="I125" i="23" s="1"/>
  <c r="F129" i="23"/>
  <c r="F117" i="23"/>
  <c r="F116" i="23" s="1"/>
  <c r="H116" i="23"/>
  <c r="G116" i="23"/>
  <c r="H112" i="23"/>
  <c r="G112" i="23"/>
  <c r="F112" i="23"/>
  <c r="I109" i="23"/>
  <c r="H109" i="23"/>
  <c r="G109" i="23"/>
  <c r="F109" i="23"/>
  <c r="H106" i="23"/>
  <c r="G106" i="23"/>
  <c r="F106" i="23"/>
  <c r="H104" i="23"/>
  <c r="G104" i="23"/>
  <c r="H103" i="23"/>
  <c r="G103" i="23"/>
  <c r="H102" i="23"/>
  <c r="G102" i="23"/>
  <c r="H101" i="23"/>
  <c r="H97" i="23" s="1"/>
  <c r="H94" i="23" s="1"/>
  <c r="G101" i="23"/>
  <c r="F97" i="23"/>
  <c r="F94" i="23" s="1"/>
  <c r="G97" i="23"/>
  <c r="G94" i="23" s="1"/>
  <c r="H92" i="23"/>
  <c r="G92" i="23"/>
  <c r="F92" i="23"/>
  <c r="H85" i="23"/>
  <c r="G85" i="23"/>
  <c r="F85" i="23"/>
  <c r="H81" i="23"/>
  <c r="G81" i="23"/>
  <c r="F81" i="23"/>
  <c r="H75" i="23"/>
  <c r="H74" i="23" s="1"/>
  <c r="G75" i="23"/>
  <c r="G74" i="23" s="1"/>
  <c r="F75" i="23"/>
  <c r="F74" i="23" s="1"/>
  <c r="H72" i="23"/>
  <c r="G72" i="23"/>
  <c r="F72" i="23"/>
  <c r="H68" i="23"/>
  <c r="G68" i="23"/>
  <c r="H65" i="23"/>
  <c r="G65" i="23"/>
  <c r="G64" i="23" s="1"/>
  <c r="F65" i="23"/>
  <c r="F64" i="23" s="1"/>
  <c r="H64" i="23"/>
  <c r="H63" i="23" s="1"/>
  <c r="F55" i="23"/>
  <c r="F54" i="23"/>
  <c r="F141" i="23" s="1"/>
  <c r="F140" i="23"/>
  <c r="F51" i="23"/>
  <c r="F50" i="23"/>
  <c r="F49" i="23"/>
  <c r="F48" i="23"/>
  <c r="F43" i="23"/>
  <c r="F41" i="23"/>
  <c r="F40" i="23"/>
  <c r="F38" i="23"/>
  <c r="H36" i="23"/>
  <c r="H35" i="23" s="1"/>
  <c r="G36" i="23"/>
  <c r="G35" i="23" s="1"/>
  <c r="F36" i="23"/>
  <c r="F137" i="23" s="1"/>
  <c r="H31" i="23"/>
  <c r="H30" i="23" s="1"/>
  <c r="G31" i="23"/>
  <c r="I30" i="23"/>
  <c r="G30" i="23"/>
  <c r="F30" i="23"/>
  <c r="H29" i="23"/>
  <c r="G29" i="23"/>
  <c r="I28" i="23"/>
  <c r="F26" i="23"/>
  <c r="G28" i="23" l="1"/>
  <c r="F61" i="24"/>
  <c r="F27" i="24" s="1"/>
  <c r="H132" i="24"/>
  <c r="H131" i="24" s="1"/>
  <c r="H130" i="24" s="1"/>
  <c r="H27" i="24"/>
  <c r="G27" i="24"/>
  <c r="G134" i="24"/>
  <c r="G132" i="24" s="1"/>
  <c r="G131" i="24" s="1"/>
  <c r="G130" i="24" s="1"/>
  <c r="G153" i="24" s="1"/>
  <c r="G150" i="24" s="1"/>
  <c r="G136" i="24"/>
  <c r="H154" i="24"/>
  <c r="H150" i="24" s="1"/>
  <c r="H123" i="24"/>
  <c r="F134" i="24"/>
  <c r="F132" i="24" s="1"/>
  <c r="F131" i="24" s="1"/>
  <c r="F130" i="24" s="1"/>
  <c r="F136" i="24"/>
  <c r="F63" i="23"/>
  <c r="G63" i="23"/>
  <c r="G27" i="23" s="1"/>
  <c r="H28" i="23"/>
  <c r="H27" i="23" s="1"/>
  <c r="F136" i="23"/>
  <c r="F134" i="23" s="1"/>
  <c r="F133" i="23" s="1"/>
  <c r="F132" i="23" s="1"/>
  <c r="F138" i="23"/>
  <c r="F35" i="23"/>
  <c r="F28" i="23" s="1"/>
  <c r="F27" i="23" s="1"/>
  <c r="G137" i="23"/>
  <c r="H137" i="23"/>
  <c r="F104" i="22"/>
  <c r="F103" i="22"/>
  <c r="F102" i="22"/>
  <c r="F101" i="22"/>
  <c r="F65" i="22"/>
  <c r="F43" i="22"/>
  <c r="F48" i="22"/>
  <c r="G123" i="24" l="1"/>
  <c r="F123" i="24"/>
  <c r="F152" i="24"/>
  <c r="F150" i="24" s="1"/>
  <c r="G138" i="23"/>
  <c r="G136" i="23"/>
  <c r="G134" i="23" s="1"/>
  <c r="G133" i="23" s="1"/>
  <c r="G132" i="23" s="1"/>
  <c r="F125" i="23"/>
  <c r="F154" i="23"/>
  <c r="F152" i="23" s="1"/>
  <c r="H136" i="23"/>
  <c r="H134" i="23" s="1"/>
  <c r="H133" i="23" s="1"/>
  <c r="H132" i="23" s="1"/>
  <c r="H138" i="23"/>
  <c r="F49" i="22"/>
  <c r="F52" i="22"/>
  <c r="F139" i="22" s="1"/>
  <c r="F53" i="22"/>
  <c r="F140" i="22" s="1"/>
  <c r="F54" i="22"/>
  <c r="I158" i="22"/>
  <c r="H158" i="22"/>
  <c r="G158" i="22"/>
  <c r="F158" i="22"/>
  <c r="I152" i="22"/>
  <c r="H149" i="22"/>
  <c r="G149" i="22"/>
  <c r="G148" i="22" s="1"/>
  <c r="I148" i="22"/>
  <c r="H148" i="22"/>
  <c r="F148" i="22"/>
  <c r="I145" i="22"/>
  <c r="H145" i="22"/>
  <c r="G145" i="22"/>
  <c r="F145" i="22"/>
  <c r="H141" i="22"/>
  <c r="F141" i="22"/>
  <c r="H140" i="22"/>
  <c r="H139" i="22"/>
  <c r="I136" i="22"/>
  <c r="I133" i="22"/>
  <c r="I132" i="22"/>
  <c r="I125" i="22" s="1"/>
  <c r="F129" i="22"/>
  <c r="F117" i="22"/>
  <c r="F116" i="22" s="1"/>
  <c r="H116" i="22"/>
  <c r="G116" i="22"/>
  <c r="H112" i="22"/>
  <c r="G112" i="22"/>
  <c r="F112" i="22"/>
  <c r="I109" i="22"/>
  <c r="H109" i="22"/>
  <c r="G109" i="22"/>
  <c r="F109" i="22"/>
  <c r="H106" i="22"/>
  <c r="G106" i="22"/>
  <c r="F106" i="22"/>
  <c r="H104" i="22"/>
  <c r="G104" i="22"/>
  <c r="H103" i="22"/>
  <c r="G103" i="22"/>
  <c r="H102" i="22"/>
  <c r="G102" i="22"/>
  <c r="H101" i="22"/>
  <c r="G101" i="22"/>
  <c r="G97" i="22" s="1"/>
  <c r="G94" i="22" s="1"/>
  <c r="F97" i="22"/>
  <c r="H92" i="22"/>
  <c r="G92" i="22"/>
  <c r="F92" i="22"/>
  <c r="H85" i="22"/>
  <c r="G85" i="22"/>
  <c r="F85" i="22"/>
  <c r="H81" i="22"/>
  <c r="G81" i="22"/>
  <c r="F81" i="22"/>
  <c r="H75" i="22"/>
  <c r="G75" i="22"/>
  <c r="F75" i="22"/>
  <c r="H74" i="22"/>
  <c r="G74" i="22"/>
  <c r="F74" i="22"/>
  <c r="H72" i="22"/>
  <c r="G72" i="22"/>
  <c r="F72" i="22"/>
  <c r="H68" i="22"/>
  <c r="G68" i="22"/>
  <c r="H65" i="22"/>
  <c r="H64" i="22" s="1"/>
  <c r="G65" i="22"/>
  <c r="G64" i="22" s="1"/>
  <c r="F64" i="22"/>
  <c r="F55" i="22"/>
  <c r="F51" i="22"/>
  <c r="F50" i="22"/>
  <c r="F41" i="22"/>
  <c r="F40" i="22"/>
  <c r="F38" i="22"/>
  <c r="H36" i="22"/>
  <c r="H35" i="22" s="1"/>
  <c r="G36" i="22"/>
  <c r="G137" i="22" s="1"/>
  <c r="H31" i="22"/>
  <c r="H30" i="22" s="1"/>
  <c r="G31" i="22"/>
  <c r="I30" i="22"/>
  <c r="I28" i="22" s="1"/>
  <c r="G30" i="22"/>
  <c r="F30" i="22"/>
  <c r="H29" i="22"/>
  <c r="G29" i="22"/>
  <c r="F26" i="22"/>
  <c r="G35" i="22" l="1"/>
  <c r="G28" i="22" s="1"/>
  <c r="H97" i="22"/>
  <c r="H94" i="22" s="1"/>
  <c r="H28" i="22"/>
  <c r="H27" i="22" s="1"/>
  <c r="H63" i="22"/>
  <c r="G155" i="23"/>
  <c r="G152" i="23" s="1"/>
  <c r="G125" i="23"/>
  <c r="H156" i="23"/>
  <c r="H152" i="23" s="1"/>
  <c r="H125" i="23"/>
  <c r="F94" i="22"/>
  <c r="F63" i="22" s="1"/>
  <c r="F36" i="22"/>
  <c r="F137" i="22" s="1"/>
  <c r="G138" i="22"/>
  <c r="G136" i="22"/>
  <c r="G134" i="22" s="1"/>
  <c r="G133" i="22" s="1"/>
  <c r="G132" i="22" s="1"/>
  <c r="G63" i="22"/>
  <c r="H137" i="22"/>
  <c r="F100" i="21"/>
  <c r="F48" i="21"/>
  <c r="F51" i="21"/>
  <c r="F55" i="21"/>
  <c r="F38" i="21"/>
  <c r="F41" i="21"/>
  <c r="I158" i="21"/>
  <c r="H158" i="21"/>
  <c r="G158" i="21"/>
  <c r="F158" i="21"/>
  <c r="I152" i="21"/>
  <c r="H149" i="21"/>
  <c r="G149" i="21"/>
  <c r="G148" i="21" s="1"/>
  <c r="I148" i="21"/>
  <c r="H148" i="21"/>
  <c r="F148" i="21"/>
  <c r="I145" i="21"/>
  <c r="H145" i="21"/>
  <c r="G145" i="21"/>
  <c r="F145" i="21"/>
  <c r="H141" i="21"/>
  <c r="F141" i="21"/>
  <c r="H140" i="21"/>
  <c r="F140" i="21"/>
  <c r="H139" i="21"/>
  <c r="F139" i="21"/>
  <c r="I136" i="21"/>
  <c r="I132" i="21" s="1"/>
  <c r="I125" i="21" s="1"/>
  <c r="I133" i="21"/>
  <c r="F129" i="21"/>
  <c r="F117" i="21"/>
  <c r="F116" i="21" s="1"/>
  <c r="H116" i="21"/>
  <c r="G116" i="21"/>
  <c r="H112" i="21"/>
  <c r="G112" i="21"/>
  <c r="F112" i="21"/>
  <c r="I109" i="21"/>
  <c r="H109" i="21"/>
  <c r="G109" i="21"/>
  <c r="F109" i="21"/>
  <c r="H106" i="21"/>
  <c r="G106" i="21"/>
  <c r="F106" i="21"/>
  <c r="H104" i="21"/>
  <c r="G104" i="21"/>
  <c r="H103" i="21"/>
  <c r="G103" i="21"/>
  <c r="H102" i="21"/>
  <c r="G102" i="21"/>
  <c r="H101" i="21"/>
  <c r="G101" i="21"/>
  <c r="G97" i="21" s="1"/>
  <c r="G94" i="21" s="1"/>
  <c r="H97" i="21"/>
  <c r="F97" i="21"/>
  <c r="F94" i="21" s="1"/>
  <c r="H94" i="21"/>
  <c r="H92" i="21"/>
  <c r="G92" i="21"/>
  <c r="F92" i="21"/>
  <c r="H85" i="21"/>
  <c r="G85" i="21"/>
  <c r="F85" i="21"/>
  <c r="H81" i="21"/>
  <c r="G81" i="21"/>
  <c r="F81" i="21"/>
  <c r="H75" i="21"/>
  <c r="H74" i="21" s="1"/>
  <c r="G75" i="21"/>
  <c r="F75" i="21"/>
  <c r="G74" i="21"/>
  <c r="F74" i="21"/>
  <c r="H72" i="21"/>
  <c r="G72" i="21"/>
  <c r="F72" i="21"/>
  <c r="F64" i="21" s="1"/>
  <c r="H68" i="21"/>
  <c r="G68" i="21"/>
  <c r="H65" i="21"/>
  <c r="G65" i="21"/>
  <c r="G64" i="21" s="1"/>
  <c r="G63" i="21" s="1"/>
  <c r="H64" i="21"/>
  <c r="H63" i="21" s="1"/>
  <c r="F50" i="21"/>
  <c r="F40" i="21"/>
  <c r="F39" i="21"/>
  <c r="F36" i="21"/>
  <c r="H36" i="21"/>
  <c r="H35" i="21" s="1"/>
  <c r="G36" i="21"/>
  <c r="G35" i="21" s="1"/>
  <c r="H31" i="21"/>
  <c r="G31" i="21"/>
  <c r="G30" i="21" s="1"/>
  <c r="I30" i="21"/>
  <c r="I28" i="21" s="1"/>
  <c r="H30" i="21"/>
  <c r="F30" i="21"/>
  <c r="H29" i="21"/>
  <c r="G29" i="21"/>
  <c r="F26" i="21"/>
  <c r="G27" i="22" l="1"/>
  <c r="F35" i="22"/>
  <c r="F28" i="22" s="1"/>
  <c r="F27" i="22" s="1"/>
  <c r="H136" i="22"/>
  <c r="H134" i="22" s="1"/>
  <c r="H133" i="22" s="1"/>
  <c r="H132" i="22" s="1"/>
  <c r="H138" i="22"/>
  <c r="G155" i="22"/>
  <c r="G152" i="22" s="1"/>
  <c r="G125" i="22"/>
  <c r="F136" i="22"/>
  <c r="F134" i="22" s="1"/>
  <c r="F133" i="22" s="1"/>
  <c r="F132" i="22" s="1"/>
  <c r="F138" i="22"/>
  <c r="F63" i="21"/>
  <c r="F137" i="21"/>
  <c r="F35" i="21"/>
  <c r="F28" i="21" s="1"/>
  <c r="G28" i="21"/>
  <c r="G27" i="21" s="1"/>
  <c r="H28" i="21"/>
  <c r="H27" i="21" s="1"/>
  <c r="G137" i="21"/>
  <c r="H137" i="21"/>
  <c r="F128" i="20"/>
  <c r="F49" i="20"/>
  <c r="F37" i="20"/>
  <c r="F50" i="20"/>
  <c r="F39" i="20"/>
  <c r="I157" i="20"/>
  <c r="H157" i="20"/>
  <c r="G157" i="20"/>
  <c r="F157" i="20"/>
  <c r="I151" i="20"/>
  <c r="H148" i="20"/>
  <c r="H147" i="20" s="1"/>
  <c r="G148" i="20"/>
  <c r="I147" i="20"/>
  <c r="G147" i="20"/>
  <c r="F147" i="20"/>
  <c r="I144" i="20"/>
  <c r="H144" i="20"/>
  <c r="G144" i="20"/>
  <c r="F144" i="20"/>
  <c r="H140" i="20"/>
  <c r="F140" i="20"/>
  <c r="H139" i="20"/>
  <c r="F139" i="20"/>
  <c r="H138" i="20"/>
  <c r="F138" i="20"/>
  <c r="I135" i="20"/>
  <c r="I131" i="20" s="1"/>
  <c r="I124" i="20" s="1"/>
  <c r="I132" i="20"/>
  <c r="F116" i="20"/>
  <c r="F115" i="20" s="1"/>
  <c r="H115" i="20"/>
  <c r="G115" i="20"/>
  <c r="H111" i="20"/>
  <c r="G111" i="20"/>
  <c r="F111" i="20"/>
  <c r="I108" i="20"/>
  <c r="H108" i="20"/>
  <c r="G108" i="20"/>
  <c r="F108" i="20"/>
  <c r="H105" i="20"/>
  <c r="G105" i="20"/>
  <c r="F105" i="20"/>
  <c r="H103" i="20"/>
  <c r="G103" i="20"/>
  <c r="H102" i="20"/>
  <c r="G102" i="20"/>
  <c r="H101" i="20"/>
  <c r="G101" i="20"/>
  <c r="H100" i="20"/>
  <c r="G100" i="20"/>
  <c r="G96" i="20" s="1"/>
  <c r="G93" i="20" s="1"/>
  <c r="H96" i="20"/>
  <c r="H93" i="20" s="1"/>
  <c r="F96" i="20"/>
  <c r="H91" i="20"/>
  <c r="G91" i="20"/>
  <c r="F91" i="20"/>
  <c r="H84" i="20"/>
  <c r="G84" i="20"/>
  <c r="F84" i="20"/>
  <c r="H80" i="20"/>
  <c r="G80" i="20"/>
  <c r="F80" i="20"/>
  <c r="H74" i="20"/>
  <c r="G74" i="20"/>
  <c r="G73" i="20" s="1"/>
  <c r="F74" i="20"/>
  <c r="H73" i="20"/>
  <c r="F73" i="20"/>
  <c r="H71" i="20"/>
  <c r="G71" i="20"/>
  <c r="F71" i="20"/>
  <c r="H67" i="20"/>
  <c r="G67" i="20"/>
  <c r="H64" i="20"/>
  <c r="H63" i="20" s="1"/>
  <c r="H62" i="20" s="1"/>
  <c r="G64" i="20"/>
  <c r="G63" i="20"/>
  <c r="F63" i="20"/>
  <c r="F38" i="20"/>
  <c r="F35" i="20" s="1"/>
  <c r="H35" i="20"/>
  <c r="H136" i="20" s="1"/>
  <c r="G35" i="20"/>
  <c r="G34" i="20" s="1"/>
  <c r="H34" i="20"/>
  <c r="H30" i="20"/>
  <c r="H29" i="20" s="1"/>
  <c r="G30" i="20"/>
  <c r="G29" i="20" s="1"/>
  <c r="I29" i="20"/>
  <c r="F29" i="20"/>
  <c r="H28" i="20"/>
  <c r="G28" i="20"/>
  <c r="G27" i="20" s="1"/>
  <c r="I27" i="20"/>
  <c r="F25" i="20"/>
  <c r="H27" i="20" l="1"/>
  <c r="H26" i="20" s="1"/>
  <c r="F125" i="22"/>
  <c r="F154" i="22"/>
  <c r="F152" i="22" s="1"/>
  <c r="H156" i="22"/>
  <c r="H152" i="22" s="1"/>
  <c r="H125" i="22"/>
  <c r="F27" i="21"/>
  <c r="H136" i="21"/>
  <c r="H134" i="21" s="1"/>
  <c r="H133" i="21" s="1"/>
  <c r="H132" i="21" s="1"/>
  <c r="H138" i="21"/>
  <c r="F136" i="21"/>
  <c r="F134" i="21" s="1"/>
  <c r="F133" i="21" s="1"/>
  <c r="F132" i="21" s="1"/>
  <c r="F138" i="21"/>
  <c r="G138" i="21"/>
  <c r="G136" i="21"/>
  <c r="G134" i="21" s="1"/>
  <c r="G133" i="21" s="1"/>
  <c r="G132" i="21" s="1"/>
  <c r="F93" i="20"/>
  <c r="F62" i="20" s="1"/>
  <c r="F136" i="20"/>
  <c r="F34" i="20"/>
  <c r="F27" i="20" s="1"/>
  <c r="G62" i="20"/>
  <c r="G26" i="20" s="1"/>
  <c r="H135" i="20"/>
  <c r="H133" i="20" s="1"/>
  <c r="H132" i="20" s="1"/>
  <c r="H131" i="20" s="1"/>
  <c r="H137" i="20"/>
  <c r="G136" i="20"/>
  <c r="F125" i="21" l="1"/>
  <c r="F154" i="21"/>
  <c r="F152" i="21" s="1"/>
  <c r="G155" i="21"/>
  <c r="G152" i="21" s="1"/>
  <c r="G125" i="21"/>
  <c r="H156" i="21"/>
  <c r="H152" i="21" s="1"/>
  <c r="H125" i="21"/>
  <c r="F26" i="20"/>
  <c r="F135" i="20"/>
  <c r="F133" i="20" s="1"/>
  <c r="F132" i="20" s="1"/>
  <c r="F131" i="20" s="1"/>
  <c r="F137" i="20"/>
  <c r="H155" i="20"/>
  <c r="H151" i="20" s="1"/>
  <c r="H124" i="20"/>
  <c r="G137" i="20"/>
  <c r="G135" i="20"/>
  <c r="G133" i="20" s="1"/>
  <c r="G132" i="20" s="1"/>
  <c r="G131" i="20" s="1"/>
  <c r="G154" i="20" l="1"/>
  <c r="G151" i="20" s="1"/>
  <c r="G124" i="20"/>
  <c r="F124" i="20"/>
  <c r="F153" i="20"/>
  <c r="F151" i="20" s="1"/>
  <c r="F116" i="19"/>
  <c r="F115" i="19" l="1"/>
  <c r="I157" i="19"/>
  <c r="H157" i="19"/>
  <c r="G157" i="19"/>
  <c r="F157" i="19"/>
  <c r="I151" i="19"/>
  <c r="H148" i="19"/>
  <c r="G148" i="19"/>
  <c r="I147" i="19"/>
  <c r="H147" i="19"/>
  <c r="G147" i="19"/>
  <c r="F147" i="19"/>
  <c r="I144" i="19"/>
  <c r="H144" i="19"/>
  <c r="G144" i="19"/>
  <c r="F144" i="19"/>
  <c r="H140" i="19"/>
  <c r="F140" i="19"/>
  <c r="H139" i="19"/>
  <c r="F139" i="19"/>
  <c r="H138" i="19"/>
  <c r="F138" i="19"/>
  <c r="I135" i="19"/>
  <c r="I132" i="19"/>
  <c r="F128" i="19"/>
  <c r="H115" i="19"/>
  <c r="G115" i="19"/>
  <c r="H111" i="19"/>
  <c r="G111" i="19"/>
  <c r="F111" i="19"/>
  <c r="I108" i="19"/>
  <c r="H108" i="19"/>
  <c r="G108" i="19"/>
  <c r="F108" i="19"/>
  <c r="F107" i="19"/>
  <c r="F105" i="19" s="1"/>
  <c r="H105" i="19"/>
  <c r="G105" i="19"/>
  <c r="H103" i="19"/>
  <c r="G103" i="19"/>
  <c r="H102" i="19"/>
  <c r="G102" i="19"/>
  <c r="H101" i="19"/>
  <c r="G101" i="19"/>
  <c r="H100" i="19"/>
  <c r="G100" i="19"/>
  <c r="F99" i="19"/>
  <c r="F96" i="19" s="1"/>
  <c r="H96" i="19"/>
  <c r="H93" i="19" s="1"/>
  <c r="H91" i="19"/>
  <c r="G91" i="19"/>
  <c r="F91" i="19"/>
  <c r="H84" i="19"/>
  <c r="G84" i="19"/>
  <c r="F84" i="19"/>
  <c r="H80" i="19"/>
  <c r="G80" i="19"/>
  <c r="F80" i="19"/>
  <c r="H74" i="19"/>
  <c r="H73" i="19" s="1"/>
  <c r="G74" i="19"/>
  <c r="G73" i="19" s="1"/>
  <c r="F74" i="19"/>
  <c r="F73" i="19" s="1"/>
  <c r="H71" i="19"/>
  <c r="G71" i="19"/>
  <c r="F71" i="19"/>
  <c r="H67" i="19"/>
  <c r="G67" i="19"/>
  <c r="H64" i="19"/>
  <c r="H63" i="19" s="1"/>
  <c r="H62" i="19" s="1"/>
  <c r="G64" i="19"/>
  <c r="G63" i="19" s="1"/>
  <c r="F63" i="19"/>
  <c r="F38" i="19"/>
  <c r="F35" i="19" s="1"/>
  <c r="F136" i="19" s="1"/>
  <c r="H35" i="19"/>
  <c r="H34" i="19" s="1"/>
  <c r="G35" i="19"/>
  <c r="G136" i="19" s="1"/>
  <c r="H30" i="19"/>
  <c r="G30" i="19"/>
  <c r="I29" i="19"/>
  <c r="I27" i="19" s="1"/>
  <c r="H29" i="19"/>
  <c r="G29" i="19"/>
  <c r="F29" i="19"/>
  <c r="H28" i="19"/>
  <c r="G28" i="19"/>
  <c r="F25" i="19"/>
  <c r="H27" i="19" l="1"/>
  <c r="F137" i="19"/>
  <c r="F135" i="19"/>
  <c r="G96" i="19"/>
  <c r="G93" i="19" s="1"/>
  <c r="I131" i="19"/>
  <c r="I124" i="19" s="1"/>
  <c r="F34" i="19"/>
  <c r="F27" i="19" s="1"/>
  <c r="F93" i="19"/>
  <c r="G135" i="19"/>
  <c r="G137" i="19"/>
  <c r="G133" i="19"/>
  <c r="G132" i="19" s="1"/>
  <c r="G131" i="19" s="1"/>
  <c r="H26" i="19"/>
  <c r="G62" i="19"/>
  <c r="H136" i="19"/>
  <c r="G34" i="19"/>
  <c r="G27" i="19" s="1"/>
  <c r="F47" i="18"/>
  <c r="F40" i="18"/>
  <c r="F30" i="18"/>
  <c r="I155" i="18"/>
  <c r="H155" i="18"/>
  <c r="G155" i="18"/>
  <c r="F155" i="18"/>
  <c r="I149" i="18"/>
  <c r="H146" i="18"/>
  <c r="G146" i="18"/>
  <c r="F146" i="18"/>
  <c r="I145" i="18"/>
  <c r="H145" i="18"/>
  <c r="G145" i="18"/>
  <c r="F145" i="18"/>
  <c r="I142" i="18"/>
  <c r="H142" i="18"/>
  <c r="G142" i="18"/>
  <c r="F142" i="18"/>
  <c r="H138" i="18"/>
  <c r="F138" i="18"/>
  <c r="H137" i="18"/>
  <c r="F137" i="18"/>
  <c r="H136" i="18"/>
  <c r="F136" i="18"/>
  <c r="I133" i="18"/>
  <c r="I130" i="18"/>
  <c r="I129" i="18"/>
  <c r="I122" i="18" s="1"/>
  <c r="F126" i="18"/>
  <c r="F114" i="18"/>
  <c r="F113" i="18" s="1"/>
  <c r="H113" i="18"/>
  <c r="G113" i="18"/>
  <c r="H109" i="18"/>
  <c r="G109" i="18"/>
  <c r="F109" i="18"/>
  <c r="I106" i="18"/>
  <c r="H106" i="18"/>
  <c r="G106" i="18"/>
  <c r="F106" i="18"/>
  <c r="F105" i="18"/>
  <c r="F103" i="18" s="1"/>
  <c r="H103" i="18"/>
  <c r="G103" i="18"/>
  <c r="H101" i="18"/>
  <c r="G101" i="18"/>
  <c r="H100" i="18"/>
  <c r="G100" i="18"/>
  <c r="H99" i="18"/>
  <c r="G99" i="18"/>
  <c r="H98" i="18"/>
  <c r="G98" i="18"/>
  <c r="G94" i="18" s="1"/>
  <c r="G91" i="18" s="1"/>
  <c r="F97" i="18"/>
  <c r="H94" i="18"/>
  <c r="H91" i="18" s="1"/>
  <c r="F94" i="18"/>
  <c r="F91" i="18" s="1"/>
  <c r="H89" i="18"/>
  <c r="G89" i="18"/>
  <c r="F89" i="18"/>
  <c r="H82" i="18"/>
  <c r="G82" i="18"/>
  <c r="F82" i="18"/>
  <c r="H78" i="18"/>
  <c r="G78" i="18"/>
  <c r="F78" i="18"/>
  <c r="H72" i="18"/>
  <c r="G72" i="18"/>
  <c r="G71" i="18" s="1"/>
  <c r="F72" i="18"/>
  <c r="H71" i="18"/>
  <c r="F71" i="18"/>
  <c r="H69" i="18"/>
  <c r="G69" i="18"/>
  <c r="F69" i="18"/>
  <c r="H65" i="18"/>
  <c r="G65" i="18"/>
  <c r="F65" i="18"/>
  <c r="H62" i="18"/>
  <c r="G62" i="18"/>
  <c r="G61" i="18" s="1"/>
  <c r="F62" i="18"/>
  <c r="F61" i="18"/>
  <c r="F38" i="18"/>
  <c r="F35" i="18" s="1"/>
  <c r="F34" i="18" s="1"/>
  <c r="H35" i="18"/>
  <c r="H134" i="18" s="1"/>
  <c r="G35" i="18"/>
  <c r="G134" i="18" s="1"/>
  <c r="H34" i="18"/>
  <c r="F32" i="18"/>
  <c r="H30" i="18"/>
  <c r="H29" i="18" s="1"/>
  <c r="G30" i="18"/>
  <c r="I29" i="18"/>
  <c r="I27" i="18" s="1"/>
  <c r="G29" i="18"/>
  <c r="F29" i="18"/>
  <c r="H28" i="18"/>
  <c r="H27" i="18" s="1"/>
  <c r="G28" i="18"/>
  <c r="F25" i="18"/>
  <c r="H61" i="18" l="1"/>
  <c r="H137" i="19"/>
  <c r="H135" i="19"/>
  <c r="H133" i="19" s="1"/>
  <c r="H132" i="19" s="1"/>
  <c r="H131" i="19" s="1"/>
  <c r="F62" i="19"/>
  <c r="F26" i="19" s="1"/>
  <c r="G124" i="19"/>
  <c r="G154" i="19"/>
  <c r="G151" i="19" s="1"/>
  <c r="G26" i="19"/>
  <c r="F133" i="19"/>
  <c r="F132" i="19" s="1"/>
  <c r="F131" i="19" s="1"/>
  <c r="F60" i="18"/>
  <c r="F27" i="18"/>
  <c r="G133" i="18"/>
  <c r="G135" i="18"/>
  <c r="H135" i="18"/>
  <c r="H133" i="18"/>
  <c r="H131" i="18" s="1"/>
  <c r="H130" i="18" s="1"/>
  <c r="H129" i="18" s="1"/>
  <c r="G60" i="18"/>
  <c r="H60" i="18"/>
  <c r="H26" i="18" s="1"/>
  <c r="G131" i="18"/>
  <c r="G130" i="18" s="1"/>
  <c r="G129" i="18" s="1"/>
  <c r="G34" i="18"/>
  <c r="G27" i="18" s="1"/>
  <c r="G26" i="18" s="1"/>
  <c r="F124" i="19" l="1"/>
  <c r="F153" i="19"/>
  <c r="F151" i="19" s="1"/>
  <c r="H155" i="19"/>
  <c r="H151" i="19" s="1"/>
  <c r="H124" i="19"/>
  <c r="F26" i="18"/>
  <c r="F134" i="18"/>
  <c r="H153" i="18"/>
  <c r="H149" i="18" s="1"/>
  <c r="H122" i="18"/>
  <c r="F133" i="18"/>
  <c r="F131" i="18" s="1"/>
  <c r="F130" i="18" s="1"/>
  <c r="F129" i="18" s="1"/>
  <c r="F135" i="18"/>
  <c r="G122" i="18"/>
  <c r="G152" i="18"/>
  <c r="G149" i="18" s="1"/>
  <c r="F32" i="17"/>
  <c r="F122" i="18" l="1"/>
  <c r="F151" i="18"/>
  <c r="F149" i="18" s="1"/>
  <c r="F25" i="17"/>
  <c r="I155" i="17"/>
  <c r="H155" i="17"/>
  <c r="G155" i="17"/>
  <c r="F155" i="17"/>
  <c r="I149" i="17"/>
  <c r="H146" i="17"/>
  <c r="G146" i="17"/>
  <c r="F146" i="17"/>
  <c r="I145" i="17"/>
  <c r="H145" i="17"/>
  <c r="G145" i="17"/>
  <c r="F145" i="17"/>
  <c r="I142" i="17"/>
  <c r="H142" i="17"/>
  <c r="G142" i="17"/>
  <c r="F142" i="17"/>
  <c r="H138" i="17"/>
  <c r="F138" i="17"/>
  <c r="H137" i="17"/>
  <c r="F137" i="17"/>
  <c r="H136" i="17"/>
  <c r="F136" i="17"/>
  <c r="I133" i="17"/>
  <c r="I129" i="17" s="1"/>
  <c r="I122" i="17" s="1"/>
  <c r="I130" i="17"/>
  <c r="F126" i="17"/>
  <c r="F114" i="17"/>
  <c r="F113" i="17" s="1"/>
  <c r="H113" i="17"/>
  <c r="G113" i="17"/>
  <c r="H109" i="17"/>
  <c r="G109" i="17"/>
  <c r="F109" i="17"/>
  <c r="I106" i="17"/>
  <c r="H106" i="17"/>
  <c r="G106" i="17"/>
  <c r="F106" i="17"/>
  <c r="F105" i="17"/>
  <c r="F103" i="17" s="1"/>
  <c r="H103" i="17"/>
  <c r="G103" i="17"/>
  <c r="H101" i="17"/>
  <c r="G101" i="17"/>
  <c r="F101" i="17"/>
  <c r="H100" i="17"/>
  <c r="G100" i="17"/>
  <c r="H99" i="17"/>
  <c r="G99" i="17"/>
  <c r="H98" i="17"/>
  <c r="H94" i="17" s="1"/>
  <c r="H91" i="17" s="1"/>
  <c r="G98" i="17"/>
  <c r="F97" i="17"/>
  <c r="H89" i="17"/>
  <c r="G89" i="17"/>
  <c r="F89" i="17"/>
  <c r="H82" i="17"/>
  <c r="G82" i="17"/>
  <c r="F82" i="17"/>
  <c r="F78" i="17"/>
  <c r="H78" i="17"/>
  <c r="G78" i="17"/>
  <c r="H72" i="17"/>
  <c r="H71" i="17" s="1"/>
  <c r="G72" i="17"/>
  <c r="G71" i="17" s="1"/>
  <c r="F72" i="17"/>
  <c r="F71" i="17" s="1"/>
  <c r="H69" i="17"/>
  <c r="G69" i="17"/>
  <c r="F69" i="17"/>
  <c r="H65" i="17"/>
  <c r="G65" i="17"/>
  <c r="F65" i="17"/>
  <c r="H62" i="17"/>
  <c r="G62" i="17"/>
  <c r="F62" i="17"/>
  <c r="H61" i="17"/>
  <c r="F38" i="17"/>
  <c r="F35" i="17" s="1"/>
  <c r="F134" i="17" s="1"/>
  <c r="H35" i="17"/>
  <c r="H134" i="17" s="1"/>
  <c r="G35" i="17"/>
  <c r="G34" i="17" s="1"/>
  <c r="H30" i="17"/>
  <c r="G30" i="17"/>
  <c r="F30" i="17"/>
  <c r="F29" i="17" s="1"/>
  <c r="I29" i="17"/>
  <c r="I27" i="17" s="1"/>
  <c r="H29" i="17"/>
  <c r="G29" i="17"/>
  <c r="H28" i="17"/>
  <c r="G28" i="17"/>
  <c r="G27" i="17" s="1"/>
  <c r="F61" i="17" l="1"/>
  <c r="G94" i="17"/>
  <c r="G91" i="17" s="1"/>
  <c r="G61" i="17"/>
  <c r="G60" i="17" s="1"/>
  <c r="G26" i="17" s="1"/>
  <c r="H60" i="17"/>
  <c r="F94" i="17"/>
  <c r="F91" i="17" s="1"/>
  <c r="F34" i="17"/>
  <c r="H133" i="17"/>
  <c r="H131" i="17" s="1"/>
  <c r="H130" i="17" s="1"/>
  <c r="H129" i="17" s="1"/>
  <c r="H135" i="17"/>
  <c r="F27" i="17"/>
  <c r="G134" i="17"/>
  <c r="H34" i="17"/>
  <c r="H27" i="17" s="1"/>
  <c r="F97" i="16"/>
  <c r="F99" i="16"/>
  <c r="F96" i="16"/>
  <c r="H63" i="16"/>
  <c r="G63" i="16"/>
  <c r="F63" i="16"/>
  <c r="H60" i="16"/>
  <c r="G60" i="16"/>
  <c r="F60" i="16"/>
  <c r="H30" i="16"/>
  <c r="G30" i="16"/>
  <c r="F30" i="16"/>
  <c r="F38" i="16"/>
  <c r="F35" i="16" s="1"/>
  <c r="H26" i="17" l="1"/>
  <c r="H153" i="17"/>
  <c r="H149" i="17" s="1"/>
  <c r="H122" i="17"/>
  <c r="F133" i="17"/>
  <c r="F131" i="17" s="1"/>
  <c r="F130" i="17" s="1"/>
  <c r="F135" i="17"/>
  <c r="G133" i="17"/>
  <c r="G131" i="17" s="1"/>
  <c r="G130" i="17" s="1"/>
  <c r="G129" i="17" s="1"/>
  <c r="G135" i="17"/>
  <c r="F60" i="17"/>
  <c r="F26" i="17" s="1"/>
  <c r="I153" i="16"/>
  <c r="H153" i="16"/>
  <c r="G153" i="16"/>
  <c r="F153" i="16"/>
  <c r="I147" i="16"/>
  <c r="H144" i="16"/>
  <c r="G144" i="16"/>
  <c r="F144" i="16"/>
  <c r="I143" i="16"/>
  <c r="H143" i="16"/>
  <c r="G143" i="16"/>
  <c r="F143" i="16"/>
  <c r="I140" i="16"/>
  <c r="H140" i="16"/>
  <c r="G140" i="16"/>
  <c r="F140" i="16"/>
  <c r="H136" i="16"/>
  <c r="F136" i="16"/>
  <c r="H135" i="16"/>
  <c r="F135" i="16"/>
  <c r="H134" i="16"/>
  <c r="F134" i="16"/>
  <c r="I131" i="16"/>
  <c r="I128" i="16"/>
  <c r="I127" i="16"/>
  <c r="F124" i="16"/>
  <c r="I120" i="16"/>
  <c r="F112" i="16"/>
  <c r="F111" i="16" s="1"/>
  <c r="H111" i="16"/>
  <c r="G111" i="16"/>
  <c r="H107" i="16"/>
  <c r="G107" i="16"/>
  <c r="F107" i="16"/>
  <c r="I104" i="16"/>
  <c r="H104" i="16"/>
  <c r="G104" i="16"/>
  <c r="F104" i="16"/>
  <c r="F103" i="16"/>
  <c r="F101" i="16" s="1"/>
  <c r="H101" i="16"/>
  <c r="G101" i="16"/>
  <c r="H99" i="16"/>
  <c r="G99" i="16"/>
  <c r="H98" i="16"/>
  <c r="G98" i="16"/>
  <c r="F98" i="16"/>
  <c r="H97" i="16"/>
  <c r="G97" i="16"/>
  <c r="H96" i="16"/>
  <c r="H92" i="16" s="1"/>
  <c r="H89" i="16" s="1"/>
  <c r="G96" i="16"/>
  <c r="J95" i="16"/>
  <c r="F95" i="16"/>
  <c r="F92" i="16" s="1"/>
  <c r="F89" i="16" s="1"/>
  <c r="H87" i="16"/>
  <c r="G87" i="16"/>
  <c r="F87" i="16"/>
  <c r="H80" i="16"/>
  <c r="G80" i="16"/>
  <c r="F80" i="16"/>
  <c r="F79" i="16"/>
  <c r="H76" i="16"/>
  <c r="G76" i="16"/>
  <c r="F76" i="16"/>
  <c r="H70" i="16"/>
  <c r="G70" i="16"/>
  <c r="G69" i="16" s="1"/>
  <c r="F70" i="16"/>
  <c r="F69" i="16" s="1"/>
  <c r="H69" i="16"/>
  <c r="H67" i="16"/>
  <c r="G67" i="16"/>
  <c r="F67" i="16"/>
  <c r="G59" i="16"/>
  <c r="F59" i="16"/>
  <c r="H59" i="16"/>
  <c r="H58" i="16" s="1"/>
  <c r="H35" i="16"/>
  <c r="H132" i="16" s="1"/>
  <c r="G35" i="16"/>
  <c r="G132" i="16" s="1"/>
  <c r="F34" i="16"/>
  <c r="K31" i="16"/>
  <c r="I29" i="16"/>
  <c r="I27" i="16" s="1"/>
  <c r="H29" i="16"/>
  <c r="G29" i="16"/>
  <c r="F29" i="16"/>
  <c r="F27" i="16" s="1"/>
  <c r="H28" i="16"/>
  <c r="G28" i="16"/>
  <c r="F25" i="16"/>
  <c r="G92" i="16" l="1"/>
  <c r="G89" i="16" s="1"/>
  <c r="G58" i="16" s="1"/>
  <c r="F129" i="17"/>
  <c r="G152" i="17"/>
  <c r="G149" i="17" s="1"/>
  <c r="G122" i="17"/>
  <c r="H131" i="16"/>
  <c r="H133" i="16"/>
  <c r="H129" i="16"/>
  <c r="H128" i="16" s="1"/>
  <c r="H127" i="16" s="1"/>
  <c r="G131" i="16"/>
  <c r="G133" i="16"/>
  <c r="F58" i="16"/>
  <c r="F26" i="16" s="1"/>
  <c r="G129" i="16"/>
  <c r="G128" i="16" s="1"/>
  <c r="G127" i="16" s="1"/>
  <c r="F132" i="16"/>
  <c r="G34" i="16"/>
  <c r="G27" i="16" s="1"/>
  <c r="H34" i="16"/>
  <c r="H27" i="16" s="1"/>
  <c r="H26" i="16" s="1"/>
  <c r="F98" i="15"/>
  <c r="F97" i="15"/>
  <c r="F96" i="15"/>
  <c r="I152" i="15"/>
  <c r="H152" i="15"/>
  <c r="G152" i="15"/>
  <c r="F152" i="15"/>
  <c r="I146" i="15"/>
  <c r="H143" i="15"/>
  <c r="G143" i="15"/>
  <c r="F143" i="15"/>
  <c r="I142" i="15"/>
  <c r="H142" i="15"/>
  <c r="G142" i="15"/>
  <c r="F142" i="15"/>
  <c r="I139" i="15"/>
  <c r="H139" i="15"/>
  <c r="G139" i="15"/>
  <c r="F139" i="15"/>
  <c r="H135" i="15"/>
  <c r="F135" i="15"/>
  <c r="H134" i="15"/>
  <c r="F134" i="15"/>
  <c r="H133" i="15"/>
  <c r="F133" i="15"/>
  <c r="I130" i="15"/>
  <c r="I126" i="15" s="1"/>
  <c r="I119" i="15" s="1"/>
  <c r="I127" i="15"/>
  <c r="F123" i="15"/>
  <c r="F111" i="15"/>
  <c r="F110" i="15" s="1"/>
  <c r="H110" i="15"/>
  <c r="G110" i="15"/>
  <c r="H106" i="15"/>
  <c r="G106" i="15"/>
  <c r="F106" i="15"/>
  <c r="I103" i="15"/>
  <c r="H103" i="15"/>
  <c r="G103" i="15"/>
  <c r="F103" i="15"/>
  <c r="F102" i="15"/>
  <c r="H100" i="15"/>
  <c r="G100" i="15"/>
  <c r="F100" i="15"/>
  <c r="H98" i="15"/>
  <c r="G98" i="15"/>
  <c r="H97" i="15"/>
  <c r="G97" i="15"/>
  <c r="H96" i="15"/>
  <c r="G96" i="15"/>
  <c r="H95" i="15"/>
  <c r="H91" i="15" s="1"/>
  <c r="H88" i="15" s="1"/>
  <c r="G95" i="15"/>
  <c r="F95" i="15"/>
  <c r="J94" i="15"/>
  <c r="F94" i="15"/>
  <c r="F91" i="15" s="1"/>
  <c r="F88" i="15" s="1"/>
  <c r="H86" i="15"/>
  <c r="G86" i="15"/>
  <c r="F86" i="15"/>
  <c r="H79" i="15"/>
  <c r="G79" i="15"/>
  <c r="F79" i="15"/>
  <c r="F78" i="15"/>
  <c r="F75" i="15" s="1"/>
  <c r="H75" i="15"/>
  <c r="G75" i="15"/>
  <c r="H69" i="15"/>
  <c r="H68" i="15" s="1"/>
  <c r="G69" i="15"/>
  <c r="G68" i="15" s="1"/>
  <c r="F69" i="15"/>
  <c r="F68" i="15" s="1"/>
  <c r="H66" i="15"/>
  <c r="G66" i="15"/>
  <c r="F66" i="15"/>
  <c r="H62" i="15"/>
  <c r="G62" i="15"/>
  <c r="F62" i="15"/>
  <c r="H59" i="15"/>
  <c r="H58" i="15" s="1"/>
  <c r="H57" i="15" s="1"/>
  <c r="G59" i="15"/>
  <c r="G58" i="15" s="1"/>
  <c r="F59" i="15"/>
  <c r="F58" i="15" s="1"/>
  <c r="H35" i="15"/>
  <c r="H131" i="15" s="1"/>
  <c r="G35" i="15"/>
  <c r="G131" i="15" s="1"/>
  <c r="F35" i="15"/>
  <c r="F131" i="15" s="1"/>
  <c r="K31" i="15"/>
  <c r="H30" i="15"/>
  <c r="G30" i="15"/>
  <c r="F30" i="15"/>
  <c r="I29" i="15"/>
  <c r="I27" i="15" s="1"/>
  <c r="H29" i="15"/>
  <c r="G29" i="15"/>
  <c r="F29" i="15"/>
  <c r="H28" i="15"/>
  <c r="G28" i="15"/>
  <c r="F25" i="15"/>
  <c r="G91" i="15" l="1"/>
  <c r="G88" i="15" s="1"/>
  <c r="G26" i="16"/>
  <c r="F151" i="17"/>
  <c r="F149" i="17" s="1"/>
  <c r="F122" i="17"/>
  <c r="H151" i="16"/>
  <c r="H147" i="16" s="1"/>
  <c r="H120" i="16"/>
  <c r="G150" i="16"/>
  <c r="G147" i="16" s="1"/>
  <c r="G120" i="16"/>
  <c r="F131" i="16"/>
  <c r="F129" i="16" s="1"/>
  <c r="F128" i="16" s="1"/>
  <c r="F133" i="16"/>
  <c r="G132" i="15"/>
  <c r="G130" i="15"/>
  <c r="G128" i="15" s="1"/>
  <c r="G127" i="15" s="1"/>
  <c r="G126" i="15" s="1"/>
  <c r="G34" i="15"/>
  <c r="G27" i="15" s="1"/>
  <c r="F57" i="15"/>
  <c r="F130" i="15"/>
  <c r="F128" i="15" s="1"/>
  <c r="F127" i="15" s="1"/>
  <c r="F132" i="15"/>
  <c r="H130" i="15"/>
  <c r="H128" i="15" s="1"/>
  <c r="H127" i="15" s="1"/>
  <c r="H126" i="15" s="1"/>
  <c r="H132" i="15"/>
  <c r="G57" i="15"/>
  <c r="F34" i="15"/>
  <c r="F27" i="15" s="1"/>
  <c r="F26" i="15" s="1"/>
  <c r="H34" i="15"/>
  <c r="H27" i="15" s="1"/>
  <c r="H26" i="15" s="1"/>
  <c r="F127" i="16" l="1"/>
  <c r="L138" i="16"/>
  <c r="G149" i="15"/>
  <c r="G146" i="15" s="1"/>
  <c r="G119" i="15"/>
  <c r="G26" i="15"/>
  <c r="L137" i="15"/>
  <c r="F126" i="15"/>
  <c r="H150" i="15"/>
  <c r="H146" i="15" s="1"/>
  <c r="H119" i="15"/>
  <c r="H133" i="14"/>
  <c r="H134" i="14"/>
  <c r="H135" i="14"/>
  <c r="G96" i="14"/>
  <c r="G59" i="14"/>
  <c r="H35" i="14"/>
  <c r="H131" i="14" s="1"/>
  <c r="H30" i="14"/>
  <c r="G30" i="14"/>
  <c r="H98" i="14"/>
  <c r="G98" i="14"/>
  <c r="H96" i="14"/>
  <c r="H62" i="14"/>
  <c r="G62" i="14"/>
  <c r="F62" i="14"/>
  <c r="H59" i="14"/>
  <c r="F59" i="14"/>
  <c r="F35" i="14"/>
  <c r="F131" i="14" s="1"/>
  <c r="G35" i="14"/>
  <c r="G131" i="14" s="1"/>
  <c r="F149" i="16" l="1"/>
  <c r="F147" i="16" s="1"/>
  <c r="F120" i="16"/>
  <c r="F148" i="15"/>
  <c r="F146" i="15" s="1"/>
  <c r="F119" i="15"/>
  <c r="I152" i="14"/>
  <c r="H152" i="14"/>
  <c r="G152" i="14"/>
  <c r="F152" i="14"/>
  <c r="I146" i="14"/>
  <c r="H143" i="14"/>
  <c r="G143" i="14"/>
  <c r="F143" i="14"/>
  <c r="I142" i="14"/>
  <c r="H142" i="14"/>
  <c r="G142" i="14"/>
  <c r="F142" i="14"/>
  <c r="I139" i="14"/>
  <c r="H139" i="14"/>
  <c r="G139" i="14"/>
  <c r="F139" i="14"/>
  <c r="F135" i="14"/>
  <c r="F134" i="14"/>
  <c r="F133" i="14"/>
  <c r="F132" i="14" s="1"/>
  <c r="I130" i="14"/>
  <c r="I127" i="14"/>
  <c r="I126" i="14" s="1"/>
  <c r="I119" i="14" s="1"/>
  <c r="F123" i="14"/>
  <c r="F111" i="14"/>
  <c r="F110" i="14" s="1"/>
  <c r="H110" i="14"/>
  <c r="G110" i="14"/>
  <c r="H106" i="14"/>
  <c r="G106" i="14"/>
  <c r="F106" i="14"/>
  <c r="I103" i="14"/>
  <c r="H103" i="14"/>
  <c r="G103" i="14"/>
  <c r="F103" i="14"/>
  <c r="F102" i="14"/>
  <c r="F100" i="14" s="1"/>
  <c r="H100" i="14"/>
  <c r="G100" i="14"/>
  <c r="F98" i="14"/>
  <c r="H97" i="14"/>
  <c r="G97" i="14"/>
  <c r="F97" i="14"/>
  <c r="F96" i="14"/>
  <c r="H95" i="14"/>
  <c r="G95" i="14"/>
  <c r="G91" i="14" s="1"/>
  <c r="G88" i="14" s="1"/>
  <c r="F95" i="14"/>
  <c r="J94" i="14"/>
  <c r="F94" i="14"/>
  <c r="F91" i="14" s="1"/>
  <c r="F88" i="14" s="1"/>
  <c r="H91" i="14"/>
  <c r="H88" i="14" s="1"/>
  <c r="H86" i="14"/>
  <c r="G86" i="14"/>
  <c r="F86" i="14"/>
  <c r="H79" i="14"/>
  <c r="G79" i="14"/>
  <c r="F79" i="14"/>
  <c r="F78" i="14"/>
  <c r="F75" i="14" s="1"/>
  <c r="H75" i="14"/>
  <c r="G75" i="14"/>
  <c r="H69" i="14"/>
  <c r="H68" i="14" s="1"/>
  <c r="G69" i="14"/>
  <c r="G68" i="14" s="1"/>
  <c r="F69" i="14"/>
  <c r="F68" i="14" s="1"/>
  <c r="H66" i="14"/>
  <c r="H58" i="14" s="1"/>
  <c r="G66" i="14"/>
  <c r="F66" i="14"/>
  <c r="F58" i="14" s="1"/>
  <c r="G58" i="14"/>
  <c r="H34" i="14"/>
  <c r="G34" i="14"/>
  <c r="K31" i="14"/>
  <c r="F30" i="14"/>
  <c r="I29" i="14"/>
  <c r="H29" i="14"/>
  <c r="G29" i="14"/>
  <c r="G27" i="14" s="1"/>
  <c r="F29" i="14"/>
  <c r="H28" i="14"/>
  <c r="G28" i="14"/>
  <c r="I27" i="14"/>
  <c r="F25" i="14"/>
  <c r="F57" i="14" l="1"/>
  <c r="H27" i="14"/>
  <c r="H57" i="14"/>
  <c r="G57" i="14"/>
  <c r="G26" i="14" s="1"/>
  <c r="F130" i="14"/>
  <c r="F128" i="14" s="1"/>
  <c r="F127" i="14" s="1"/>
  <c r="H132" i="14"/>
  <c r="H130" i="14"/>
  <c r="H128" i="14" s="1"/>
  <c r="H127" i="14" s="1"/>
  <c r="H126" i="14" s="1"/>
  <c r="G130" i="14"/>
  <c r="G128" i="14" s="1"/>
  <c r="G127" i="14" s="1"/>
  <c r="G126" i="14" s="1"/>
  <c r="G132" i="14"/>
  <c r="F34" i="14"/>
  <c r="F27" i="14" s="1"/>
  <c r="F26" i="14" s="1"/>
  <c r="H28" i="13"/>
  <c r="G28" i="13"/>
  <c r="H26" i="14" l="1"/>
  <c r="H150" i="14"/>
  <c r="H146" i="14" s="1"/>
  <c r="H119" i="14"/>
  <c r="G119" i="14"/>
  <c r="G149" i="14"/>
  <c r="G146" i="14" s="1"/>
  <c r="L137" i="14"/>
  <c r="F126" i="14"/>
  <c r="H142" i="13"/>
  <c r="G142" i="13"/>
  <c r="G35" i="13"/>
  <c r="F61" i="13"/>
  <c r="F58" i="13"/>
  <c r="F142" i="13"/>
  <c r="F95" i="13"/>
  <c r="F97" i="13"/>
  <c r="F101" i="13"/>
  <c r="F96" i="13"/>
  <c r="F94" i="13"/>
  <c r="F148" i="14" l="1"/>
  <c r="F146" i="14" s="1"/>
  <c r="F119" i="14"/>
  <c r="F93" i="13"/>
  <c r="F77" i="13"/>
  <c r="H35" i="13" l="1"/>
  <c r="F35" i="13"/>
  <c r="F30" i="13"/>
  <c r="F110" i="13"/>
  <c r="F25" i="13"/>
  <c r="F130" i="13" l="1"/>
  <c r="F34" i="13"/>
  <c r="H97" i="13"/>
  <c r="G97" i="13"/>
  <c r="H96" i="13"/>
  <c r="G96" i="13"/>
  <c r="H95" i="13"/>
  <c r="G95" i="13"/>
  <c r="H94" i="13"/>
  <c r="G94" i="13"/>
  <c r="H61" i="13"/>
  <c r="G61" i="13"/>
  <c r="H58" i="13"/>
  <c r="G58" i="13"/>
  <c r="H99" i="13"/>
  <c r="G99" i="13"/>
  <c r="F99" i="13"/>
  <c r="H130" i="13" l="1"/>
  <c r="H131" i="13" s="1"/>
  <c r="G130" i="13"/>
  <c r="G131" i="13" s="1"/>
  <c r="I151" i="13" l="1"/>
  <c r="H151" i="13"/>
  <c r="G151" i="13"/>
  <c r="F151" i="13"/>
  <c r="I145" i="13"/>
  <c r="I141" i="13"/>
  <c r="H141" i="13"/>
  <c r="G141" i="13"/>
  <c r="F141" i="13"/>
  <c r="I138" i="13"/>
  <c r="H138" i="13"/>
  <c r="G138" i="13"/>
  <c r="F138" i="13"/>
  <c r="F134" i="13"/>
  <c r="F133" i="13"/>
  <c r="F132" i="13"/>
  <c r="I129" i="13"/>
  <c r="I126" i="13"/>
  <c r="F122" i="13"/>
  <c r="H109" i="13"/>
  <c r="G109" i="13"/>
  <c r="F109" i="13"/>
  <c r="H105" i="13"/>
  <c r="G105" i="13"/>
  <c r="F105" i="13"/>
  <c r="I102" i="13"/>
  <c r="H102" i="13"/>
  <c r="G102" i="13"/>
  <c r="F102" i="13"/>
  <c r="J93" i="13"/>
  <c r="H85" i="13"/>
  <c r="G85" i="13"/>
  <c r="F85" i="13"/>
  <c r="H78" i="13"/>
  <c r="G78" i="13"/>
  <c r="F78" i="13"/>
  <c r="F74" i="13"/>
  <c r="H74" i="13"/>
  <c r="G74" i="13"/>
  <c r="H68" i="13"/>
  <c r="H67" i="13" s="1"/>
  <c r="G68" i="13"/>
  <c r="G67" i="13" s="1"/>
  <c r="F68" i="13"/>
  <c r="F67" i="13" s="1"/>
  <c r="H65" i="13"/>
  <c r="G65" i="13"/>
  <c r="G57" i="13" s="1"/>
  <c r="F65" i="13"/>
  <c r="G34" i="13"/>
  <c r="K31" i="13"/>
  <c r="I29" i="13"/>
  <c r="I27" i="13" s="1"/>
  <c r="H29" i="13"/>
  <c r="G29" i="13"/>
  <c r="F29" i="13"/>
  <c r="F27" i="13" s="1"/>
  <c r="F131" i="13" l="1"/>
  <c r="G90" i="13"/>
  <c r="G87" i="13" s="1"/>
  <c r="G56" i="13" s="1"/>
  <c r="I125" i="13"/>
  <c r="I118" i="13" s="1"/>
  <c r="F57" i="13"/>
  <c r="H57" i="13"/>
  <c r="F90" i="13"/>
  <c r="F87" i="13" s="1"/>
  <c r="H90" i="13"/>
  <c r="H87" i="13" s="1"/>
  <c r="H34" i="13"/>
  <c r="H27" i="13" s="1"/>
  <c r="G27" i="13"/>
  <c r="H129" i="13"/>
  <c r="G26" i="13" l="1"/>
  <c r="H56" i="13"/>
  <c r="H26" i="13" s="1"/>
  <c r="H127" i="13"/>
  <c r="F56" i="13"/>
  <c r="F26" i="13" s="1"/>
  <c r="F129" i="13"/>
  <c r="F127" i="13" s="1"/>
  <c r="F126" i="13" s="1"/>
  <c r="H126" i="13" l="1"/>
  <c r="H125" i="13" s="1"/>
  <c r="L136" i="13"/>
  <c r="F125" i="13"/>
  <c r="H149" i="13" l="1"/>
  <c r="H145" i="13" s="1"/>
  <c r="H118" i="13"/>
  <c r="F147" i="13"/>
  <c r="F145" i="13" s="1"/>
  <c r="F118" i="13"/>
  <c r="G129" i="13" l="1"/>
  <c r="G127" i="13" s="1"/>
  <c r="G126" i="13" s="1"/>
  <c r="G125" i="13" s="1"/>
  <c r="G118" i="13" l="1"/>
  <c r="G148" i="13"/>
  <c r="G145" i="13" s="1"/>
</calcChain>
</file>

<file path=xl/sharedStrings.xml><?xml version="1.0" encoding="utf-8"?>
<sst xmlns="http://schemas.openxmlformats.org/spreadsheetml/2006/main" count="6752" uniqueCount="301">
  <si>
    <t>УТВЕРЖДАЮ</t>
  </si>
  <si>
    <t>Начальник управления образования администрации муниципального образования Гулькевичский район</t>
  </si>
  <si>
    <t>____________________ Н.В. Дудникова</t>
  </si>
  <si>
    <t>Коды</t>
  </si>
  <si>
    <t>Дата</t>
  </si>
  <si>
    <t>Орган, осуществляющий функции и полномочия учредителя: Управление образования администрации муниципального образования Гулькевичский район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</si>
  <si>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</si>
  <si>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</si>
  <si>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</si>
  <si>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</si>
  <si>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</si>
  <si>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</si>
  <si>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</si>
  <si>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</si>
  <si>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</si>
  <si>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</si>
  <si>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</si>
  <si>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2021 год</t>
  </si>
  <si>
    <t>на 2022 год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</si>
  <si>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</si>
  <si>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</si>
  <si>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</si>
  <si>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</si>
  <si>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</si>
  <si>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</si>
  <si>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</si>
  <si>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</si>
  <si>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</si>
  <si>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</si>
  <si>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</si>
  <si>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</si>
  <si>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</si>
  <si>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</si>
  <si>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 xml:space="preserve"> 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</si>
  <si>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</si>
  <si>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</si>
  <si>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</si>
  <si>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</si>
  <si>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</si>
  <si>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</si>
  <si>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поступления на финансовое обеспечение выполнения государственного (муниципального) задания от оказания услуг (выполнения работ) на платной основе и от иной приносящей доход деятельности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</si>
  <si>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</si>
  <si>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</si>
  <si>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</si>
  <si>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</si>
  <si>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</si>
  <si>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</si>
  <si>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</si>
  <si>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</si>
  <si>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</si>
  <si>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</si>
  <si>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1420</t>
  </si>
  <si>
    <t>1430</t>
  </si>
  <si>
    <t>прочие доходы , всего</t>
  </si>
  <si>
    <t>1500</t>
  </si>
  <si>
    <t>180</t>
  </si>
  <si>
    <t>иные доходы, всего</t>
  </si>
  <si>
    <t>1530</t>
  </si>
  <si>
    <t>доходы от операций с активами, всего</t>
  </si>
  <si>
    <t>1900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</si>
  <si>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</si>
  <si>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</si>
  <si>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</si>
  <si>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</si>
  <si>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</si>
  <si>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</si>
  <si>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</si>
  <si>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</si>
  <si>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</si>
  <si>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</si>
  <si>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</si>
  <si>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</si>
  <si>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</si>
  <si>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</si>
  <si>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расходы на 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</si>
  <si>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</si>
  <si>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</si>
  <si>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
на оплату труда стажеров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</si>
  <si>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</si>
  <si>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</si>
  <si>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</si>
  <si>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</si>
  <si>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</si>
  <si>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</si>
  <si>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</si>
  <si>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</si>
  <si>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</si>
  <si>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</si>
  <si>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</si>
  <si>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</si>
  <si>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</si>
  <si>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</si>
  <si>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</si>
  <si>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</si>
  <si>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</si>
  <si>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</si>
  <si>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</si>
  <si>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</si>
  <si>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
закупку научно-исследовательских и опытно-конструкторских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</si>
  <si>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</si>
  <si>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</si>
  <si>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 xml:space="preserve">из них:
</t>
  </si>
  <si>
    <t>услуги связи</t>
  </si>
  <si>
    <t>244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</si>
  <si>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</si>
  <si>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</si>
  <si>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</si>
  <si>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</si>
  <si>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</si>
  <si>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</si>
  <si>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</si>
  <si>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</si>
  <si>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</si>
  <si>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</si>
  <si>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</si>
  <si>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</si>
  <si>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</si>
  <si>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</si>
  <si>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Раздел 2. Сведения по выплатам на закупки товаров, работ, услуг</t>
  </si>
  <si>
    <t>№ п\п</t>
  </si>
  <si>
    <t>Коды строк</t>
  </si>
  <si>
    <t>Год начала закупки</t>
  </si>
  <si>
    <t>4.1</t>
  </si>
  <si>
    <t>Выплаты на закупку товаров, работ, услуг, всего</t>
  </si>
  <si>
    <t>1.1.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</si>
  <si>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</si>
  <si>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</si>
  <si>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</si>
  <si>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</si>
  <si>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</si>
  <si>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1.3.1.</t>
  </si>
  <si>
    <t>в том числе: в соответствии с Федеральным законом № 44-ФЗ</t>
  </si>
  <si>
    <t>26310.1</t>
  </si>
  <si>
    <t>1.3.2.</t>
  </si>
  <si>
    <t>в  соответствии с Федералльным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</si>
  <si>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</si>
  <si>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</si>
  <si>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1.4.1.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</si>
  <si>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</si>
  <si>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</si>
  <si>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>в том числе:
в соответствии с Федеральным законом № 44-ФЗ</t>
  </si>
  <si>
    <t>1.4.1.2.</t>
  </si>
  <si>
    <t>в соответствии с Федеральным законом № 223-ФЗ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</si>
  <si>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</si>
  <si>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</si>
  <si>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</si>
  <si>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из них</t>
  </si>
  <si>
    <t>26421.1</t>
  </si>
  <si>
    <t>1.4.2.2.</t>
  </si>
  <si>
    <t>1.4.3.</t>
  </si>
  <si>
    <t>за счет субсидий, предоставляемых на осуществление капитальных вложений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</si>
  <si>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</si>
  <si>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</si>
  <si>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</si>
  <si>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</si>
  <si>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</si>
  <si>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</si>
  <si>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</si>
  <si>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</si>
  <si>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26451.1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</si>
  <si>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</si>
  <si>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</si>
  <si>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</si>
  <si>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</si>
  <si>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</si>
  <si>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</si>
  <si>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(подпись)</t>
  </si>
  <si>
    <t>(расшифровка подписи)</t>
  </si>
  <si>
    <t>М.М. Кубченко</t>
  </si>
  <si>
    <t>Заместитель главного бухгалтера МКУ "ЦБ УО"</t>
  </si>
  <si>
    <t xml:space="preserve">                          (подпись)                               (расшифровка подписи)</t>
  </si>
  <si>
    <t>Приобретение оборудования(средства краевого бюджета)  к.с.  011426086</t>
  </si>
  <si>
    <t>МЦП "Обеспечение безопасности населения" (Мероприятия по обеспечению пожарной безопасности)  к.с. 041010054</t>
  </si>
  <si>
    <t>МП "Обеспечение безопасности населения" (Мероприятия антитеррористической направленности)  к.с. 041010052</t>
  </si>
  <si>
    <t>МП"Обеспечение безопасности населения "(Приобретение средств ограничения доступа, аппаратуры видеонаблюдения для обеспечения правопорядка и общественной безопасности  при проведении мероприятий , связанных с массовым пребыванием людей)  к.с.  041010056</t>
  </si>
  <si>
    <t>МП " Развитие образования" обеспечение льготным питанием учащихся из многодетных семей  к.с.  011026237</t>
  </si>
  <si>
    <t>МП " Дети Гулькевичского района"  (Организация отдыха,оздоровления и занятости детей и подростков) организация работы оздоровительных лагерей с дневным пребыванием детей на базе общеобразовательных учреждений  к.с. 031010031</t>
  </si>
  <si>
    <t>МП " Дети Гулькевичского района"  (Оплата наценки за приготовление блюд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для детей из семей, находящихся в трудной жизненной ситуации )  к.с. 031010038</t>
  </si>
  <si>
    <t>МП "Дети Гулькевичского района" осуществление отдельных гос. полномочий по обеспечению отдыха детей в каникулярное время в профильных лагерях, организованных муниципальными общеобразовательными организациями к.с. 031016311</t>
  </si>
  <si>
    <t>в том числе: поступления текущего характера от иных резидентов  (за исключением сектора государственного управления и организаций государственного сектора)</t>
  </si>
  <si>
    <t>в том числе: субсидии на осуществление капитальных вложений</t>
  </si>
  <si>
    <t>пенсии, пособия, выплачиваемые работодателями, нанимателями бывшим работникам</t>
  </si>
  <si>
    <t>130   2,5,6</t>
  </si>
  <si>
    <t>расходы всего-130 (2,5.6)-6 без 130-2 (112+113)</t>
  </si>
  <si>
    <t>2 112+111+113</t>
  </si>
  <si>
    <t>5 111+112+113</t>
  </si>
  <si>
    <t>итого бюджет</t>
  </si>
  <si>
    <t>2 тек</t>
  </si>
  <si>
    <t>5 тек</t>
  </si>
  <si>
    <t xml:space="preserve">6 тек </t>
  </si>
  <si>
    <t>сов</t>
  </si>
  <si>
    <t xml:space="preserve">из них </t>
  </si>
  <si>
    <t>Распределение средств краевого  бюджета на реализацию мероприятий по материально-техническому обеспечению пунктов проведения экзаменов для государственной итоговой аттестации   к.с..011026250</t>
  </si>
  <si>
    <t>услуги банка</t>
  </si>
  <si>
    <t>26421.4</t>
  </si>
  <si>
    <t>26421.5</t>
  </si>
  <si>
    <t>26421.6</t>
  </si>
  <si>
    <t>01102L3040</t>
  </si>
  <si>
    <t>Распределение средств федерального бюджета на организацию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</si>
  <si>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Распределение средств краевого бюджета на организацию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</si>
  <si>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Распределение средств муниципального бюджета на организацию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</si>
  <si>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МП "Развитие образования" (организация и обеспечение бесплатным горячим питанием обучающихся по образовательным  программам начального общего образования в муниципальных образовательных организациях)    ЦСР  01102L3040   к.с.  011023040   Источник финансирования - федеральный бюджет</t>
  </si>
  <si>
    <t>МП "Развитие образования" (организация и обеспечение бесплатным горячим питанием обучающихся по образовательным  программам начального общего образования в муниципальных образовательных организациях)    ЦСР  01102L3040   к.с.  011023040   Источник финансирования - краевой бюджет</t>
  </si>
  <si>
    <t>МП "Развитие образования" (организация и обеспечение бесплатным горячим питанием обучающихся по образовательным  программам начального общего образования в муниципальных образовательных организациях)    ЦСР  01102L3040   к.с.  011023040   Источник финансирования - муниципальный бюджет</t>
  </si>
  <si>
    <t>2.1</t>
  </si>
  <si>
    <t>2.2</t>
  </si>
  <si>
    <t>2.3</t>
  </si>
  <si>
    <t>Учреждение (подразделение): Муниципальное бюджетное общеобразовательное учреждение средняя общеобразовательная школа  № 7 г.Гулькевичи муниципального образования Гулькевичский район имени дважды Героя Советского Союза   К.К. Рокоссовского</t>
  </si>
  <si>
    <t>Г.Ю.Кушнарев</t>
  </si>
  <si>
    <r>
      <t xml:space="preserve">Исполнитель   /    _______________        Т.С. Шеременко   </t>
    </r>
    <r>
      <rPr>
        <sz val="9"/>
        <color theme="1"/>
        <rFont val="Times New Roman"/>
        <family val="1"/>
        <charset val="204"/>
      </rPr>
      <t>тел.</t>
    </r>
    <r>
      <rPr>
        <sz val="14"/>
        <color theme="1"/>
        <rFont val="Times New Roman"/>
        <family val="1"/>
        <charset val="204"/>
      </rPr>
      <t xml:space="preserve">          3-20-05</t>
    </r>
  </si>
  <si>
    <t xml:space="preserve"> Директор МБОУ СОШ № 7 им. К.К. Рокоссовского</t>
  </si>
  <si>
    <t>закупку энергетических ресурсов</t>
  </si>
  <si>
    <t>247</t>
  </si>
  <si>
    <t>6 без 130 и без мер и без клас. Рук, ЕГЭ</t>
  </si>
  <si>
    <t>План финансово- хозяйственной деятельности</t>
  </si>
  <si>
    <t xml:space="preserve">             « 01 »  января 2021  г.</t>
  </si>
  <si>
    <t>01.01.2021 г.</t>
  </si>
  <si>
    <t>" 29 "       января     2021 г.</t>
  </si>
  <si>
    <t>на 2023 год</t>
  </si>
  <si>
    <t>на 2021 год и плановый период 2022 и 2023 года</t>
  </si>
  <si>
    <t>" 05 "       февраля     2021 г.</t>
  </si>
  <si>
    <t xml:space="preserve">             « 05 »  февраля 2021  г.</t>
  </si>
  <si>
    <t>05.02.2021 г.</t>
  </si>
  <si>
    <t>МП "Развитие образования" ( ежемесячное денежное вознаграждение за классное руководство педагогическим работникам муниципальных образовательных организаций,реализующих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  ЦСР  0110253030  к.с.  011025303  Источник финансирования - федеральный бюджет</t>
  </si>
  <si>
    <t>Уточненный план финансово- хозяйственной деятельности</t>
  </si>
  <si>
    <t>26421.2</t>
  </si>
  <si>
    <t>26421.3</t>
  </si>
  <si>
    <t xml:space="preserve"> Директор МБОУ СОШ № 7 </t>
  </si>
  <si>
    <t>"23 "  марта     2021 г.</t>
  </si>
  <si>
    <t xml:space="preserve">             « 23 » марта 2021  г.</t>
  </si>
  <si>
    <t>23.03.2021 г.</t>
  </si>
  <si>
    <t>МП "Развитие образования" (Проведение капитального и текущего ремонта учреждений образования , приобретение оборудования , приобретение стройматериалов, ремонт и строительство теневых навесов)     кс 011020610</t>
  </si>
  <si>
    <r>
      <t xml:space="preserve">Исполнитель   /    _______________        М.М.Кубченко   </t>
    </r>
    <r>
      <rPr>
        <sz val="9"/>
        <color theme="1"/>
        <rFont val="Times New Roman"/>
        <family val="1"/>
        <charset val="204"/>
      </rPr>
      <t>тел.</t>
    </r>
    <r>
      <rPr>
        <sz val="14"/>
        <color theme="1"/>
        <rFont val="Times New Roman"/>
        <family val="1"/>
        <charset val="204"/>
      </rPr>
      <t xml:space="preserve">          3-20-05</t>
    </r>
  </si>
  <si>
    <t>"22 " апреля 2021 г.</t>
  </si>
  <si>
    <t xml:space="preserve">             « 22 » апреля 2021  г.</t>
  </si>
  <si>
    <t>22.04.2021 г.</t>
  </si>
  <si>
    <t>МП "Обеспечение безопасности населения" (Мероприятия по обеспечению пожарной безопасности)  к.с. 041010054</t>
  </si>
  <si>
    <t>МП "Развитие образования" ( Подготовка учреждений образования к осенне-зимнему периоду) кс 011020011</t>
  </si>
  <si>
    <t>Средства краевого бюджета на решение социально-значимых вопросов местного значения : капитальный ремонт, благоустройство территории, материально-техническое обеспечение муниципальных учреждений образования кс 011026298</t>
  </si>
  <si>
    <t>"24 "мая 2021 г.</t>
  </si>
  <si>
    <t xml:space="preserve">             « 24 »  мая 2021  г.</t>
  </si>
  <si>
    <t>24.05.2021 г.</t>
  </si>
  <si>
    <t>МП "Обеспечение безопасности населения" (Мероприятия антитеррористической направленности)  к.с. 231010052</t>
  </si>
  <si>
    <t>МП"Обеспечение безопасности населения "(Приобретение средств ограничения доступа, аппаратуры видеонаблюдения для обеспечения правопорядка и общественной безопасности  при проведении мероприятий , связанных с массовым пребыванием людей)  к.с.  231010056</t>
  </si>
  <si>
    <t>МЦП " Дети Гулькевичского района"  (Открытие пришкольных лагерей , внедряющих дополнительные общеобразовательные , общеразвивающие программы в рамках организации отдыха обучающихся в каникулярное время с дневным пребыванием (приобретение продуктов питания)) КС 031010039</t>
  </si>
  <si>
    <t>"20 " сентября 2021 г.</t>
  </si>
  <si>
    <t xml:space="preserve">             « 20 »   сентября  2021  г.</t>
  </si>
  <si>
    <t>20.09.2021 г.</t>
  </si>
  <si>
    <t>МП " Энергосбережение и повышение энергетической эффективности"   кс 111010123</t>
  </si>
  <si>
    <t>МП "Профилактика терроризма" (Профилактика терроризма, обеспечение инженерно-технической защищенности муниципальных учреждений в муниципальном образовании Гулькевичский район) кс 231010052</t>
  </si>
  <si>
    <t>МП"Профилактика терроризма "(Приобретение средств ограничения доступа, аппаратуры видеонаблюдения для обеспечения правопорядка и общественной безопасности  при проведении мероприятий , связанных с массовым пребыванием людей)   кс 231010056</t>
  </si>
  <si>
    <t xml:space="preserve">             «15 » октября  2021  г.</t>
  </si>
  <si>
    <t>15.10.2021 г.</t>
  </si>
  <si>
    <t>"15 " октября  2021 г.</t>
  </si>
  <si>
    <t>"23 " ноября 2021 г.</t>
  </si>
  <si>
    <t xml:space="preserve">             « 23 » ноября 2021  г.</t>
  </si>
  <si>
    <t>23.11.2021 г.</t>
  </si>
  <si>
    <t>Исполняющий обязанности начальника</t>
  </si>
  <si>
    <t>управления образования администрации муниципального образования Гулькевичский район</t>
  </si>
  <si>
    <t>УТВЕРЖДАЮ:</t>
  </si>
  <si>
    <t>____________________ Е.Ю.Келейникова</t>
  </si>
  <si>
    <t>"24 " декабря 2021 г.</t>
  </si>
  <si>
    <t xml:space="preserve">             « 24 » декабря 2021  г.</t>
  </si>
  <si>
    <t>24.12.2021 г.</t>
  </si>
  <si>
    <t>____________________ Н.В.Дудникова</t>
  </si>
  <si>
    <t>"17 " января 2022 г.</t>
  </si>
  <si>
    <t xml:space="preserve">             « 30 » декабря 2021  г.</t>
  </si>
  <si>
    <t>30.12.2021 г.</t>
  </si>
  <si>
    <t>" 25 " января 2022 г.</t>
  </si>
  <si>
    <t>01. 01.2022 г.</t>
  </si>
  <si>
    <t xml:space="preserve">             « 01 » января  2022  г.</t>
  </si>
  <si>
    <t>на 2022 год и плановый период 2023 и 2024 года</t>
  </si>
  <si>
    <r>
  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  </r>
    <r>
      <rPr>
        <b/>
        <sz val="11"/>
        <color theme="1"/>
        <rFont val="Times New Roman"/>
        <family val="1"/>
        <charset val="204"/>
      </rPr>
      <t xml:space="preserve"> КС 011023550</t>
    </r>
  </si>
  <si>
    <r>
      <t xml:space="preserve">Обеспечение бесплатным двухразовым питанием детей-инвалидов(инвалидов)не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 </t>
    </r>
    <r>
      <rPr>
        <b/>
        <sz val="11"/>
        <color theme="1"/>
        <rFont val="Times New Roman"/>
        <family val="1"/>
        <charset val="204"/>
      </rPr>
      <t>КС 011026354</t>
    </r>
  </si>
  <si>
    <t>" 26 " января 2022 г.</t>
  </si>
  <si>
    <t xml:space="preserve">             «26 » января  2022  г.</t>
  </si>
  <si>
    <t>26. 01.2022 г.</t>
  </si>
  <si>
    <t>на 2024 год</t>
  </si>
  <si>
    <t>" 24 " февраля 2022 г.</t>
  </si>
  <si>
    <t xml:space="preserve">             «24 » февраля  2022  г.</t>
  </si>
  <si>
    <t>24. 02.2022 г.</t>
  </si>
  <si>
    <t>Приобретение оборудования(средства муниципального бюджета)  к.с. 001000004</t>
  </si>
  <si>
    <t>" 16 " марта 2022 г.</t>
  </si>
  <si>
    <t xml:space="preserve">             « 16 » марта  2022  г.</t>
  </si>
  <si>
    <t>16. 03.2022 г.</t>
  </si>
  <si>
    <t>Исполняющий обязанности</t>
  </si>
  <si>
    <t>начальника  управления образования администрации муниципального образования Гулькевичский район</t>
  </si>
  <si>
    <t>" 18 " апреля  2022 г.</t>
  </si>
  <si>
    <t xml:space="preserve">             « 18 » апреля  2022  г.</t>
  </si>
  <si>
    <t>18. 04.2022 г.</t>
  </si>
  <si>
    <t>Начальник  управления образования администрации муниципального образования Гулькевичский район</t>
  </si>
  <si>
    <t>____________________Н.В.Дудникова</t>
  </si>
  <si>
    <t>" 15 " июня  2022 г.</t>
  </si>
  <si>
    <t xml:space="preserve">             « 15 »  июня 2022  г.</t>
  </si>
  <si>
    <t>15. 06.2022 г.</t>
  </si>
  <si>
    <t>" 15 " июля  2022 г.</t>
  </si>
  <si>
    <t xml:space="preserve">             « 15 »  июля 2022  г.</t>
  </si>
  <si>
    <t>15. 07.2022 г.</t>
  </si>
  <si>
    <t>" 19 " августа  2022 г.</t>
  </si>
  <si>
    <t xml:space="preserve">             « 19 »  августа 2022  г.</t>
  </si>
  <si>
    <t>19. 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</si>
</sst>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43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>
      <alignment horizontal="left" wrapText="1" indent="1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>
      <alignment horizontal="left" wrapText="1" indent="1"/>
    </xf>
    <xf numFmtId="4" fontId="6" fillId="3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3" fontId="14" fillId="0" borderId="0" xfId="0" applyNumberFormat="1" applyFont="1" applyFill="1" applyBorder="1" applyAlignment="1">
      <alignment vertical="center"/>
    </xf>
    <xf numFmtId="4" fontId="1" fillId="0" borderId="0" xfId="0" applyNumberFormat="1" applyFont="1"/>
    <xf numFmtId="4" fontId="6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/>
    <xf numFmtId="0" fontId="4" fillId="0" borderId="8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4" fontId="7" fillId="4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0" xfId="0" applyNumberFormat="1" applyFont="1" applyAlignment="1">
      <alignment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4" fontId="4" fillId="0" borderId="0" xfId="0" applyNumberFormat="1" applyFont="1" applyFill="1" applyAlignment="1">
      <alignment wrapText="1"/>
    </xf>
    <xf numFmtId="164" fontId="4" fillId="7" borderId="4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4" fontId="13" fillId="2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4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abSelected="1" zoomScale="85" zoomScaleNormal="85" zoomScaleSheetLayoutView="70" workbookViewId="0">
      <selection activeCell="G127" sqref="G127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290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291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298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299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300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22">
        <v>2</v>
      </c>
      <c r="D25" s="122">
        <v>3</v>
      </c>
      <c r="E25" s="122">
        <v>4</v>
      </c>
      <c r="F25" s="11">
        <v>5</v>
      </c>
      <c r="G25" s="11">
        <v>6</v>
      </c>
      <c r="H25" s="11">
        <v>7</v>
      </c>
      <c r="I25" s="122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57546724.329999998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43515488.450000003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43251116.450000003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264372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14016228.879999999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14007680.479999999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200000-50000-110000+13197.29</f>
        <v>53197.29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>
        <f>52254+34000-10000</f>
        <v>76254</v>
      </c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318600+709285.48+50000-99520.12</f>
        <v>978365.36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f>21314.34+25000+45513.01</f>
        <v>91827.35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f>124690-94500.4</f>
        <v>30189.600000000006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223850-54600-101050.4</f>
        <v>68199.600000000006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f>1500000-190000</f>
        <v>1310000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43500+1000000+175600+212000</f>
        <v>1431100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5017509.88-454116.56-1005176.49</f>
        <v>3558216.83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1138543.13+148558.28-283509.22</f>
        <v>1003592.19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290062.21-109116.95-39856.72</f>
        <v>141088.54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f>3122100+250550</f>
        <v>3372650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8548.4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57656132.269999996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39728921.950000003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30517408.210000001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7553.6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9203960.1400000006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80654.94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64600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16054.94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17846555.379999999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15666627.470000001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423044.35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f>360839.28+7732.37</f>
        <v>368571.65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635961.01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10274209.74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f>3195399.72+200000</f>
        <v>3395399.72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f>358994+198447+12000</f>
        <v>569441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2179927.9099999997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f>2187660.28-7732.37</f>
        <v>2179927.9099999997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17846555.379999999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>
        <v>50</v>
      </c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2786596.3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2786596.3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405257.34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15059909.08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6042936.9699999997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F92-F126-F134-F146-F124-F125</f>
        <v>6042936.9699999997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8575173.1399999987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F36-364516.13-110083.87-F53-F128-F41</f>
        <v>8575173.1399999987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4241424.9299999988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117">
        <f>F50-279298.75</f>
        <v>3278918.08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117">
        <f>F51-78775.99</f>
        <v>924816.2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117">
        <f>F52-11074.61</f>
        <v>130013.93000000001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15059909.08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15059909.08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23" t="s">
        <v>170</v>
      </c>
      <c r="B171" s="123"/>
      <c r="C171" s="123"/>
      <c r="D171" s="123"/>
      <c r="E171" s="73"/>
      <c r="H171" s="69"/>
      <c r="I171" s="69"/>
      <c r="J171"/>
    </row>
    <row r="172" spans="1:10" x14ac:dyDescent="0.25">
      <c r="A172" s="123"/>
      <c r="B172" s="123"/>
      <c r="C172" s="123"/>
      <c r="D172" s="123"/>
      <c r="E172" s="123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H1:I1"/>
    <mergeCell ref="F2:I2"/>
    <mergeCell ref="F3:I4"/>
    <mergeCell ref="A9:I9"/>
    <mergeCell ref="A10:I10"/>
    <mergeCell ref="B13:H13"/>
    <mergeCell ref="A25:B25"/>
    <mergeCell ref="A26:B26"/>
    <mergeCell ref="A27:B27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9"/>
  <sheetViews>
    <sheetView zoomScale="85" zoomScaleNormal="85" zoomScaleSheetLayoutView="70" workbookViewId="0">
      <selection activeCell="A9" sqref="A9:I9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 t="s">
        <v>257</v>
      </c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258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260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261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28.9" customHeight="1" x14ac:dyDescent="0.25">
      <c r="A10" s="127" t="s">
        <v>219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262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263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17</v>
      </c>
      <c r="G23" s="11" t="s">
        <v>18</v>
      </c>
      <c r="H23" s="11" t="s">
        <v>218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05">
        <v>2</v>
      </c>
      <c r="D25" s="105">
        <v>3</v>
      </c>
      <c r="E25" s="105">
        <v>4</v>
      </c>
      <c r="F25" s="11">
        <v>5</v>
      </c>
      <c r="G25" s="11">
        <v>6</v>
      </c>
      <c r="H25" s="11">
        <v>7</v>
      </c>
      <c r="I25" s="105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378548.25+72228.32+21310+112204.45</f>
        <v>584291.02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F26+F28-F63+F112-F116</f>
        <v>1.5192199498414993E-8</v>
      </c>
      <c r="G27" s="43">
        <f>G26+G28-G63-G116</f>
        <v>-7.4505805969238281E-9</v>
      </c>
      <c r="H27" s="43">
        <f>H26+H28-H63-H116</f>
        <v>-7.4505805969238281E-9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F29+F30+F34+F35+F58+F60+F61</f>
        <v>57496249.940000013</v>
      </c>
      <c r="G28" s="42">
        <f>G29+G30+G34+G35+G58+G60+G61</f>
        <v>58498779.229999989</v>
      </c>
      <c r="H28" s="42">
        <f>H29+H30+H34+H35+H58+H60+H61</f>
        <v>58200158.54999999</v>
      </c>
      <c r="I28" s="42">
        <f>I29+I30+I34+I35+I58+I60+I61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12000</v>
      </c>
      <c r="G29" s="13">
        <f>8333.2+2332.28</f>
        <v>10665.480000000001</v>
      </c>
      <c r="H29" s="13">
        <f>8333.2+2332.28</f>
        <v>10665.480000000001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F31+F33+F59</f>
        <v>43677096.430000007</v>
      </c>
      <c r="G30" s="42">
        <f>G31+G33+G59+G60</f>
        <v>42257280.909999996</v>
      </c>
      <c r="H30" s="42">
        <f>H31+H33+H59+H60</f>
        <v>42234767.389999993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43279065.340000004</v>
      </c>
      <c r="G31" s="52">
        <f>42353595.91-106100-170215</f>
        <v>42077280.909999996</v>
      </c>
      <c r="H31" s="52">
        <f>42353595.91-128613.52-170215</f>
        <v>42054767.389999993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398031.09</v>
      </c>
      <c r="G33" s="13">
        <v>180000</v>
      </c>
      <c r="H33" s="13">
        <v>180000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F36+F56+F57</f>
        <v>13807153.510000002</v>
      </c>
      <c r="G35" s="42">
        <f>G36</f>
        <v>16230832.84</v>
      </c>
      <c r="H35" s="42">
        <f>H36</f>
        <v>15954725.679999998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SUM(F38:F55)</f>
        <v>13807153.510000002</v>
      </c>
      <c r="G36" s="43">
        <f>SUM(G38:G58)</f>
        <v>16230832.84</v>
      </c>
      <c r="H36" s="43">
        <f>SUM(H38:H55)</f>
        <v>15954725.679999998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150000+100134+200000</f>
        <v>450134</v>
      </c>
      <c r="G38" s="20"/>
      <c r="H38" s="20"/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v>38000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50" t="s">
        <v>248</v>
      </c>
      <c r="B40" s="151"/>
      <c r="C40" s="19"/>
      <c r="D40" s="12"/>
      <c r="E40" s="11"/>
      <c r="F40" s="98">
        <f>148173.29+41285.7</f>
        <v>189458.99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f>1498868.94-311954.3</f>
        <v>1186914.6399999999</v>
      </c>
      <c r="G41" s="20">
        <v>1500000</v>
      </c>
      <c r="H41" s="20">
        <v>1500000</v>
      </c>
      <c r="I41" s="13"/>
    </row>
    <row r="42" spans="1:9" s="46" customFormat="1" ht="54.75" customHeight="1" x14ac:dyDescent="0.2">
      <c r="A42" s="149" t="s">
        <v>250</v>
      </c>
      <c r="B42" s="149"/>
      <c r="C42" s="12"/>
      <c r="D42" s="12"/>
      <c r="E42" s="11"/>
      <c r="F42" s="99">
        <v>296735.08</v>
      </c>
      <c r="G42" s="84"/>
      <c r="H42" s="84"/>
      <c r="I42" s="13"/>
    </row>
    <row r="43" spans="1:9" s="46" customFormat="1" ht="33" customHeight="1" x14ac:dyDescent="0.2">
      <c r="A43" s="150" t="s">
        <v>237</v>
      </c>
      <c r="B43" s="151"/>
      <c r="C43" s="12"/>
      <c r="D43" s="12"/>
      <c r="E43" s="11"/>
      <c r="F43" s="99">
        <f>20500+181100</f>
        <v>201600</v>
      </c>
      <c r="G43" s="84"/>
      <c r="H43" s="84"/>
      <c r="I43" s="13"/>
    </row>
    <row r="44" spans="1:9" s="46" customFormat="1" ht="54.75" customHeight="1" x14ac:dyDescent="0.2">
      <c r="A44" s="150" t="s">
        <v>238</v>
      </c>
      <c r="B44" s="151"/>
      <c r="C44" s="12"/>
      <c r="D44" s="12"/>
      <c r="E44" s="11"/>
      <c r="F44" s="99">
        <v>170000</v>
      </c>
      <c r="G44" s="84"/>
      <c r="H44" s="84"/>
      <c r="I44" s="13"/>
    </row>
    <row r="45" spans="1:9" s="46" customFormat="1" ht="29.45" customHeight="1" x14ac:dyDescent="0.2">
      <c r="A45" s="149" t="s">
        <v>175</v>
      </c>
      <c r="B45" s="149"/>
      <c r="C45" s="12"/>
      <c r="D45" s="12"/>
      <c r="E45" s="11"/>
      <c r="F45" s="99">
        <v>70350</v>
      </c>
      <c r="G45" s="84">
        <v>45350</v>
      </c>
      <c r="H45" s="84">
        <v>45350</v>
      </c>
      <c r="I45" s="13"/>
    </row>
    <row r="46" spans="1:9" s="46" customFormat="1" ht="43.15" customHeight="1" x14ac:dyDescent="0.2">
      <c r="A46" s="149" t="s">
        <v>176</v>
      </c>
      <c r="B46" s="149"/>
      <c r="C46" s="12"/>
      <c r="D46" s="12"/>
      <c r="E46" s="11"/>
      <c r="F46" s="99">
        <v>0</v>
      </c>
      <c r="G46" s="84">
        <v>25100</v>
      </c>
      <c r="H46" s="84">
        <v>22330.32</v>
      </c>
      <c r="I46" s="13"/>
    </row>
    <row r="47" spans="1:9" s="46" customFormat="1" ht="84" customHeight="1" x14ac:dyDescent="0.2">
      <c r="A47" s="147" t="s">
        <v>177</v>
      </c>
      <c r="B47" s="148"/>
      <c r="C47" s="12"/>
      <c r="D47" s="12"/>
      <c r="E47" s="11"/>
      <c r="F47" s="99">
        <v>0</v>
      </c>
      <c r="G47" s="84">
        <v>11600</v>
      </c>
      <c r="H47" s="84">
        <v>8036</v>
      </c>
      <c r="I47" s="13"/>
    </row>
    <row r="48" spans="1:9" s="46" customFormat="1" ht="58.5" customHeight="1" x14ac:dyDescent="0.2">
      <c r="A48" s="147" t="s">
        <v>244</v>
      </c>
      <c r="B48" s="148"/>
      <c r="C48" s="12"/>
      <c r="D48" s="12"/>
      <c r="E48" s="11"/>
      <c r="F48" s="99">
        <f>124690-15444.9-480.1</f>
        <v>108765</v>
      </c>
      <c r="G48" s="84"/>
      <c r="H48" s="84"/>
      <c r="I48" s="13"/>
    </row>
    <row r="49" spans="1:10" s="46" customFormat="1" ht="60.75" customHeight="1" x14ac:dyDescent="0.2">
      <c r="A49" s="149" t="s">
        <v>178</v>
      </c>
      <c r="B49" s="149"/>
      <c r="C49" s="12"/>
      <c r="D49" s="12"/>
      <c r="E49" s="11"/>
      <c r="F49" s="99">
        <f>236850-41619</f>
        <v>195231</v>
      </c>
      <c r="G49" s="84">
        <v>236850</v>
      </c>
      <c r="H49" s="84">
        <v>236850</v>
      </c>
      <c r="I49" s="13"/>
    </row>
    <row r="50" spans="1:10" s="46" customFormat="1" ht="45" customHeight="1" x14ac:dyDescent="0.2">
      <c r="A50" s="149" t="s">
        <v>192</v>
      </c>
      <c r="B50" s="149"/>
      <c r="C50" s="12"/>
      <c r="D50" s="47"/>
      <c r="E50" s="11"/>
      <c r="F50" s="99">
        <f>1313664.72-197109.92</f>
        <v>1116554.8</v>
      </c>
      <c r="G50" s="84">
        <v>1957200</v>
      </c>
      <c r="H50" s="84">
        <v>1957200</v>
      </c>
      <c r="I50" s="13"/>
    </row>
    <row r="51" spans="1:10" s="46" customFormat="1" ht="45" customHeight="1" x14ac:dyDescent="0.2">
      <c r="A51" s="150" t="s">
        <v>231</v>
      </c>
      <c r="B51" s="151"/>
      <c r="C51" s="12"/>
      <c r="D51" s="47"/>
      <c r="E51" s="11"/>
      <c r="F51" s="99">
        <f>44100+25000+8000+208800</f>
        <v>285900</v>
      </c>
      <c r="G51" s="84"/>
      <c r="H51" s="84"/>
      <c r="I51" s="13"/>
    </row>
    <row r="52" spans="1:10" s="46" customFormat="1" ht="55.9" customHeight="1" x14ac:dyDescent="0.2">
      <c r="A52" s="152" t="s">
        <v>201</v>
      </c>
      <c r="B52" s="153"/>
      <c r="C52" s="79"/>
      <c r="D52" s="80"/>
      <c r="E52" s="81"/>
      <c r="F52" s="100">
        <f>4520564.65-110580.06</f>
        <v>4409984.5900000008</v>
      </c>
      <c r="G52" s="84">
        <v>6686413.75</v>
      </c>
      <c r="H52" s="84">
        <v>6482395.7000000002</v>
      </c>
      <c r="I52" s="13"/>
      <c r="J52" s="97"/>
    </row>
    <row r="53" spans="1:10" s="46" customFormat="1" ht="54.6" customHeight="1" x14ac:dyDescent="0.2">
      <c r="A53" s="152" t="s">
        <v>202</v>
      </c>
      <c r="B53" s="153"/>
      <c r="C53" s="79"/>
      <c r="D53" s="80"/>
      <c r="E53" s="81"/>
      <c r="F53" s="100">
        <f>1427543.13-34919.93</f>
        <v>1392623.2</v>
      </c>
      <c r="G53" s="84">
        <v>1860220</v>
      </c>
      <c r="H53" s="84">
        <v>1802579.38</v>
      </c>
      <c r="I53" s="13"/>
    </row>
    <row r="54" spans="1:10" s="46" customFormat="1" ht="55.9" customHeight="1" x14ac:dyDescent="0.2">
      <c r="A54" s="152" t="s">
        <v>203</v>
      </c>
      <c r="B54" s="153"/>
      <c r="C54" s="79"/>
      <c r="D54" s="80"/>
      <c r="E54" s="81"/>
      <c r="F54" s="100">
        <f>183962.21-4500</f>
        <v>179462.21</v>
      </c>
      <c r="G54" s="84">
        <v>264539.09000000003</v>
      </c>
      <c r="H54" s="84">
        <v>256424.28</v>
      </c>
      <c r="I54" s="13"/>
      <c r="J54" s="97"/>
    </row>
    <row r="55" spans="1:10" s="46" customFormat="1" ht="82.9" customHeight="1" x14ac:dyDescent="0.2">
      <c r="A55" s="154" t="s">
        <v>223</v>
      </c>
      <c r="B55" s="155"/>
      <c r="C55" s="79"/>
      <c r="D55" s="80"/>
      <c r="E55" s="81"/>
      <c r="F55" s="100">
        <f>3593560-78120</f>
        <v>3515440</v>
      </c>
      <c r="G55" s="84">
        <v>3593560</v>
      </c>
      <c r="H55" s="84">
        <v>3593560</v>
      </c>
      <c r="I55" s="13"/>
    </row>
    <row r="56" spans="1:10" s="46" customFormat="1" ht="15" customHeight="1" x14ac:dyDescent="0.2">
      <c r="A56" s="149" t="s">
        <v>180</v>
      </c>
      <c r="B56" s="149"/>
      <c r="C56" s="12" t="s">
        <v>51</v>
      </c>
      <c r="D56" s="12" t="s">
        <v>47</v>
      </c>
      <c r="E56" s="11"/>
      <c r="F56" s="13"/>
      <c r="G56" s="13"/>
      <c r="H56" s="13"/>
      <c r="I56" s="13"/>
    </row>
    <row r="57" spans="1:10" s="46" customFormat="1" ht="26.25" customHeight="1" x14ac:dyDescent="0.2">
      <c r="A57" s="147" t="s">
        <v>179</v>
      </c>
      <c r="B57" s="148"/>
      <c r="C57" s="12" t="s">
        <v>52</v>
      </c>
      <c r="D57" s="12" t="s">
        <v>47</v>
      </c>
      <c r="E57" s="11"/>
      <c r="F57" s="13">
        <v>0</v>
      </c>
      <c r="G57" s="13"/>
      <c r="H57" s="13"/>
      <c r="I57" s="13"/>
    </row>
    <row r="58" spans="1:10" s="46" customFormat="1" ht="15" customHeight="1" x14ac:dyDescent="0.2">
      <c r="A58" s="149" t="s">
        <v>53</v>
      </c>
      <c r="B58" s="149"/>
      <c r="C58" s="12" t="s">
        <v>54</v>
      </c>
      <c r="D58" s="12" t="s">
        <v>55</v>
      </c>
      <c r="E58" s="11"/>
      <c r="F58" s="13"/>
      <c r="G58" s="13"/>
      <c r="H58" s="13"/>
      <c r="I58" s="13"/>
    </row>
    <row r="59" spans="1:10" s="4" customFormat="1" ht="15" customHeight="1" x14ac:dyDescent="0.2">
      <c r="A59" s="149" t="s">
        <v>56</v>
      </c>
      <c r="B59" s="149"/>
      <c r="C59" s="12" t="s">
        <v>57</v>
      </c>
      <c r="D59" s="12" t="s">
        <v>55</v>
      </c>
      <c r="E59" s="11"/>
      <c r="F59" s="13"/>
      <c r="G59" s="13"/>
      <c r="H59" s="13"/>
      <c r="I59" s="13"/>
    </row>
    <row r="60" spans="1:10" s="4" customFormat="1" ht="15" customHeight="1" x14ac:dyDescent="0.2">
      <c r="A60" s="149" t="s">
        <v>58</v>
      </c>
      <c r="B60" s="149"/>
      <c r="C60" s="12" t="s">
        <v>59</v>
      </c>
      <c r="D60" s="12" t="s">
        <v>60</v>
      </c>
      <c r="E60" s="11"/>
      <c r="F60" s="13"/>
      <c r="G60" s="13"/>
      <c r="H60" s="13"/>
      <c r="I60" s="13"/>
    </row>
    <row r="61" spans="1:10" s="4" customFormat="1" ht="15" customHeight="1" x14ac:dyDescent="0.2">
      <c r="A61" s="149" t="s">
        <v>61</v>
      </c>
      <c r="B61" s="149"/>
      <c r="C61" s="12" t="s">
        <v>62</v>
      </c>
      <c r="D61" s="12" t="s">
        <v>25</v>
      </c>
      <c r="E61" s="11"/>
      <c r="F61" s="13"/>
      <c r="G61" s="13"/>
      <c r="H61" s="13"/>
      <c r="I61" s="13"/>
    </row>
    <row r="62" spans="1:10" s="4" customFormat="1" ht="38.450000000000003" customHeight="1" x14ac:dyDescent="0.2">
      <c r="A62" s="149" t="s">
        <v>63</v>
      </c>
      <c r="B62" s="149"/>
      <c r="C62" s="12" t="s">
        <v>64</v>
      </c>
      <c r="D62" s="12" t="s">
        <v>65</v>
      </c>
      <c r="E62" s="11"/>
      <c r="F62" s="13"/>
      <c r="G62" s="13"/>
      <c r="H62" s="13"/>
      <c r="I62" s="13" t="s">
        <v>25</v>
      </c>
    </row>
    <row r="63" spans="1:10" s="4" customFormat="1" ht="15" customHeight="1" x14ac:dyDescent="0.2">
      <c r="A63" s="146" t="s">
        <v>66</v>
      </c>
      <c r="B63" s="146"/>
      <c r="C63" s="15" t="s">
        <v>67</v>
      </c>
      <c r="D63" s="15" t="s">
        <v>25</v>
      </c>
      <c r="E63" s="16">
        <v>200</v>
      </c>
      <c r="F63" s="42">
        <f>F64+F74+F81+F85+F92+F94</f>
        <v>57608454.390000001</v>
      </c>
      <c r="G63" s="42">
        <f>G64+G74+G81+G85+G92+G94</f>
        <v>58498779.229999997</v>
      </c>
      <c r="H63" s="42">
        <f>H64+H74+H81+H85+H92+H94</f>
        <v>58200158.549999997</v>
      </c>
      <c r="I63" s="17"/>
    </row>
    <row r="64" spans="1:10" s="4" customFormat="1" ht="27" customHeight="1" x14ac:dyDescent="0.2">
      <c r="A64" s="126" t="s">
        <v>68</v>
      </c>
      <c r="B64" s="126"/>
      <c r="C64" s="21">
        <v>2100</v>
      </c>
      <c r="D64" s="15" t="s">
        <v>25</v>
      </c>
      <c r="E64" s="21"/>
      <c r="F64" s="44">
        <f>F65+F66+F67+F68+F69+F70+F72</f>
        <v>39367434.590000004</v>
      </c>
      <c r="G64" s="44">
        <f>G65+G66+G67+G68+G69+G70+G72</f>
        <v>39194949.539999999</v>
      </c>
      <c r="H64" s="44">
        <f>H65+H66+H67+H68+H69+H70+H72</f>
        <v>39194949.539999999</v>
      </c>
      <c r="I64" s="22" t="s">
        <v>25</v>
      </c>
    </row>
    <row r="65" spans="1:11" s="4" customFormat="1" ht="25.5" customHeight="1" x14ac:dyDescent="0.2">
      <c r="A65" s="126" t="s">
        <v>69</v>
      </c>
      <c r="B65" s="126"/>
      <c r="C65" s="21">
        <v>2110</v>
      </c>
      <c r="D65" s="21">
        <v>111</v>
      </c>
      <c r="E65" s="21"/>
      <c r="F65" s="22">
        <f>30248545.75</f>
        <v>30248545.75</v>
      </c>
      <c r="G65" s="22">
        <f>82949.31+27221908.24+90000+76804.92+2760030.72-130733.49</f>
        <v>30100959.699999999</v>
      </c>
      <c r="H65" s="22">
        <f>82949.31+27221908.24+90000+76804.92+2760030.72-130733.49</f>
        <v>30100959.699999999</v>
      </c>
      <c r="I65" s="22" t="s">
        <v>25</v>
      </c>
      <c r="K65" s="90"/>
    </row>
    <row r="66" spans="1:11" s="4" customFormat="1" ht="15" customHeight="1" x14ac:dyDescent="0.2">
      <c r="A66" s="126" t="s">
        <v>70</v>
      </c>
      <c r="B66" s="126"/>
      <c r="C66" s="21">
        <v>2120</v>
      </c>
      <c r="D66" s="21">
        <v>112</v>
      </c>
      <c r="E66" s="21"/>
      <c r="F66" s="22">
        <v>2550</v>
      </c>
      <c r="G66" s="22">
        <v>3500</v>
      </c>
      <c r="H66" s="22">
        <v>3500</v>
      </c>
      <c r="I66" s="22" t="s">
        <v>25</v>
      </c>
      <c r="K66" s="90"/>
    </row>
    <row r="67" spans="1:11" s="4" customFormat="1" ht="28.5" customHeight="1" x14ac:dyDescent="0.2">
      <c r="A67" s="126" t="s">
        <v>71</v>
      </c>
      <c r="B67" s="126"/>
      <c r="C67" s="21">
        <v>2130</v>
      </c>
      <c r="D67" s="21">
        <v>113</v>
      </c>
      <c r="E67" s="21"/>
      <c r="F67" s="22"/>
      <c r="G67" s="22"/>
      <c r="H67" s="22"/>
      <c r="I67" s="22" t="s">
        <v>25</v>
      </c>
      <c r="K67" s="90"/>
    </row>
    <row r="68" spans="1:11" s="4" customFormat="1" ht="28.9" customHeight="1" x14ac:dyDescent="0.2">
      <c r="A68" s="126" t="s">
        <v>72</v>
      </c>
      <c r="B68" s="126"/>
      <c r="C68" s="21">
        <v>2140</v>
      </c>
      <c r="D68" s="21">
        <v>119</v>
      </c>
      <c r="E68" s="21"/>
      <c r="F68" s="22">
        <v>9116338.8399999999</v>
      </c>
      <c r="G68" s="22">
        <f>25050.69+8248196.3+23195.08+833529.28-39481.51</f>
        <v>9090489.8399999999</v>
      </c>
      <c r="H68" s="22">
        <f>25050.69+8248196.3+23195.08+833529.28-39481.51</f>
        <v>9090489.8399999999</v>
      </c>
      <c r="I68" s="22" t="s">
        <v>25</v>
      </c>
    </row>
    <row r="69" spans="1:11" s="4" customFormat="1" ht="16.899999999999999" customHeight="1" x14ac:dyDescent="0.2">
      <c r="A69" s="126" t="s">
        <v>73</v>
      </c>
      <c r="B69" s="126"/>
      <c r="C69" s="21">
        <v>2150</v>
      </c>
      <c r="D69" s="21">
        <v>131</v>
      </c>
      <c r="E69" s="21"/>
      <c r="F69" s="22"/>
      <c r="G69" s="22"/>
      <c r="H69" s="22"/>
      <c r="I69" s="22" t="s">
        <v>25</v>
      </c>
    </row>
    <row r="70" spans="1:11" s="4" customFormat="1" ht="27" customHeight="1" x14ac:dyDescent="0.2">
      <c r="A70" s="126" t="s">
        <v>74</v>
      </c>
      <c r="B70" s="126"/>
      <c r="C70" s="21">
        <v>2160</v>
      </c>
      <c r="D70" s="21">
        <v>133</v>
      </c>
      <c r="E70" s="21"/>
      <c r="F70" s="22"/>
      <c r="G70" s="22"/>
      <c r="H70" s="22"/>
      <c r="I70" s="22" t="s">
        <v>25</v>
      </c>
    </row>
    <row r="71" spans="1:11" s="4" customFormat="1" ht="15.75" customHeight="1" x14ac:dyDescent="0.2">
      <c r="A71" s="126" t="s">
        <v>75</v>
      </c>
      <c r="B71" s="126"/>
      <c r="C71" s="21">
        <v>2170</v>
      </c>
      <c r="D71" s="21">
        <v>134</v>
      </c>
      <c r="E71" s="21"/>
      <c r="F71" s="22"/>
      <c r="G71" s="22"/>
      <c r="H71" s="22"/>
      <c r="I71" s="22"/>
    </row>
    <row r="72" spans="1:11" s="4" customFormat="1" ht="30.75" customHeight="1" x14ac:dyDescent="0.2">
      <c r="A72" s="126" t="s">
        <v>76</v>
      </c>
      <c r="B72" s="126"/>
      <c r="C72" s="21">
        <v>2180</v>
      </c>
      <c r="D72" s="21">
        <v>139</v>
      </c>
      <c r="E72" s="21"/>
      <c r="F72" s="44">
        <f>F73</f>
        <v>0</v>
      </c>
      <c r="G72" s="44">
        <f>G73</f>
        <v>0</v>
      </c>
      <c r="H72" s="44">
        <f>H73</f>
        <v>0</v>
      </c>
      <c r="I72" s="22" t="s">
        <v>25</v>
      </c>
    </row>
    <row r="73" spans="1:11" s="4" customFormat="1" ht="25.5" customHeight="1" x14ac:dyDescent="0.2">
      <c r="A73" s="126" t="s">
        <v>77</v>
      </c>
      <c r="B73" s="126"/>
      <c r="C73" s="21">
        <v>2181</v>
      </c>
      <c r="D73" s="21">
        <v>139</v>
      </c>
      <c r="E73" s="21"/>
      <c r="F73" s="22"/>
      <c r="G73" s="22"/>
      <c r="H73" s="22"/>
      <c r="I73" s="22" t="s">
        <v>25</v>
      </c>
    </row>
    <row r="74" spans="1:11" s="76" customFormat="1" ht="15" customHeight="1" x14ac:dyDescent="0.2">
      <c r="A74" s="141" t="s">
        <v>78</v>
      </c>
      <c r="B74" s="141"/>
      <c r="C74" s="25">
        <v>2200</v>
      </c>
      <c r="D74" s="25">
        <v>300</v>
      </c>
      <c r="E74" s="25"/>
      <c r="F74" s="45">
        <f>F75+F78+F79+F80</f>
        <v>0</v>
      </c>
      <c r="G74" s="45">
        <f>G75+G78+G79+G80</f>
        <v>0</v>
      </c>
      <c r="H74" s="45">
        <f>H75+H78+H79+H80</f>
        <v>0</v>
      </c>
      <c r="I74" s="26" t="s">
        <v>25</v>
      </c>
    </row>
    <row r="75" spans="1:11" s="4" customFormat="1" ht="24.6" customHeight="1" x14ac:dyDescent="0.2">
      <c r="A75" s="126" t="s">
        <v>79</v>
      </c>
      <c r="B75" s="126"/>
      <c r="C75" s="21">
        <v>2210</v>
      </c>
      <c r="D75" s="21">
        <v>320</v>
      </c>
      <c r="E75" s="21"/>
      <c r="F75" s="44">
        <f>SUM(F76:F77)</f>
        <v>0</v>
      </c>
      <c r="G75" s="44">
        <f>SUM(G76:G76)</f>
        <v>0</v>
      </c>
      <c r="H75" s="44">
        <f>SUM(H76:H76)</f>
        <v>0</v>
      </c>
      <c r="I75" s="22" t="s">
        <v>25</v>
      </c>
    </row>
    <row r="76" spans="1:11" s="4" customFormat="1" ht="36.6" customHeight="1" x14ac:dyDescent="0.2">
      <c r="A76" s="126" t="s">
        <v>80</v>
      </c>
      <c r="B76" s="126"/>
      <c r="C76" s="21">
        <v>2211</v>
      </c>
      <c r="D76" s="21">
        <v>321</v>
      </c>
      <c r="E76" s="21"/>
      <c r="F76" s="22"/>
      <c r="G76" s="22"/>
      <c r="H76" s="22"/>
      <c r="I76" s="22" t="s">
        <v>25</v>
      </c>
    </row>
    <row r="77" spans="1:11" s="4" customFormat="1" ht="15.6" customHeight="1" x14ac:dyDescent="0.2">
      <c r="A77" s="139" t="s">
        <v>181</v>
      </c>
      <c r="B77" s="140"/>
      <c r="C77" s="21">
        <v>2212</v>
      </c>
      <c r="D77" s="21">
        <v>321</v>
      </c>
      <c r="E77" s="21"/>
      <c r="F77" s="22"/>
      <c r="G77" s="22"/>
      <c r="H77" s="22"/>
      <c r="I77" s="22" t="s">
        <v>25</v>
      </c>
    </row>
    <row r="78" spans="1:11" s="4" customFormat="1" ht="25.9" customHeight="1" x14ac:dyDescent="0.2">
      <c r="A78" s="126" t="s">
        <v>81</v>
      </c>
      <c r="B78" s="126"/>
      <c r="C78" s="21">
        <v>2220</v>
      </c>
      <c r="D78" s="21">
        <v>340</v>
      </c>
      <c r="E78" s="21"/>
      <c r="F78" s="22"/>
      <c r="G78" s="22"/>
      <c r="H78" s="22"/>
      <c r="I78" s="22" t="s">
        <v>25</v>
      </c>
    </row>
    <row r="79" spans="1:11" s="4" customFormat="1" ht="39" customHeight="1" x14ac:dyDescent="0.2">
      <c r="A79" s="126" t="s">
        <v>82</v>
      </c>
      <c r="B79" s="126"/>
      <c r="C79" s="21">
        <v>2230</v>
      </c>
      <c r="D79" s="21">
        <v>350</v>
      </c>
      <c r="E79" s="21"/>
      <c r="F79" s="22"/>
      <c r="G79" s="22"/>
      <c r="H79" s="22"/>
      <c r="I79" s="22" t="s">
        <v>25</v>
      </c>
    </row>
    <row r="80" spans="1:11" s="4" customFormat="1" ht="16.149999999999999" customHeight="1" x14ac:dyDescent="0.2">
      <c r="A80" s="126" t="s">
        <v>83</v>
      </c>
      <c r="B80" s="126"/>
      <c r="C80" s="21">
        <v>2240</v>
      </c>
      <c r="D80" s="21">
        <v>360</v>
      </c>
      <c r="E80" s="21"/>
      <c r="F80" s="22"/>
      <c r="G80" s="22"/>
      <c r="H80" s="22"/>
      <c r="I80" s="22" t="s">
        <v>25</v>
      </c>
    </row>
    <row r="81" spans="1:9" s="76" customFormat="1" ht="15" customHeight="1" x14ac:dyDescent="0.2">
      <c r="A81" s="141" t="s">
        <v>84</v>
      </c>
      <c r="B81" s="141"/>
      <c r="C81" s="25">
        <v>2300</v>
      </c>
      <c r="D81" s="25">
        <v>850</v>
      </c>
      <c r="E81" s="25"/>
      <c r="F81" s="45">
        <f>SUM(F82:F84)</f>
        <v>102450.28</v>
      </c>
      <c r="G81" s="45">
        <f>SUM(G82:G84)</f>
        <v>100225</v>
      </c>
      <c r="H81" s="45">
        <f>SUM(H82:H84)</f>
        <v>100225</v>
      </c>
      <c r="I81" s="26" t="s">
        <v>25</v>
      </c>
    </row>
    <row r="82" spans="1:9" s="4" customFormat="1" ht="24" customHeight="1" x14ac:dyDescent="0.2">
      <c r="A82" s="126" t="s">
        <v>85</v>
      </c>
      <c r="B82" s="126"/>
      <c r="C82" s="21">
        <v>2310</v>
      </c>
      <c r="D82" s="21">
        <v>851</v>
      </c>
      <c r="E82" s="21"/>
      <c r="F82" s="22">
        <v>84648.34</v>
      </c>
      <c r="G82" s="22">
        <v>87400</v>
      </c>
      <c r="H82" s="22">
        <v>87400</v>
      </c>
      <c r="I82" s="22" t="s">
        <v>25</v>
      </c>
    </row>
    <row r="83" spans="1:9" s="4" customFormat="1" ht="30" customHeight="1" x14ac:dyDescent="0.2">
      <c r="A83" s="126" t="s">
        <v>86</v>
      </c>
      <c r="B83" s="126"/>
      <c r="C83" s="21">
        <v>2320</v>
      </c>
      <c r="D83" s="21">
        <v>852</v>
      </c>
      <c r="E83" s="21"/>
      <c r="F83" s="22">
        <v>0</v>
      </c>
      <c r="G83" s="22"/>
      <c r="H83" s="22"/>
      <c r="I83" s="22" t="s">
        <v>25</v>
      </c>
    </row>
    <row r="84" spans="1:9" s="4" customFormat="1" ht="13.5" customHeight="1" x14ac:dyDescent="0.2">
      <c r="A84" s="126" t="s">
        <v>87</v>
      </c>
      <c r="B84" s="126"/>
      <c r="C84" s="21">
        <v>2330</v>
      </c>
      <c r="D84" s="21">
        <v>853</v>
      </c>
      <c r="E84" s="21"/>
      <c r="F84" s="22">
        <v>17801.939999999999</v>
      </c>
      <c r="G84" s="22">
        <v>12825</v>
      </c>
      <c r="H84" s="22">
        <v>12825</v>
      </c>
      <c r="I84" s="22" t="s">
        <v>25</v>
      </c>
    </row>
    <row r="85" spans="1:9" s="4" customFormat="1" ht="13.5" customHeight="1" x14ac:dyDescent="0.2">
      <c r="A85" s="126" t="s">
        <v>88</v>
      </c>
      <c r="B85" s="126"/>
      <c r="C85" s="21">
        <v>2400</v>
      </c>
      <c r="D85" s="21" t="s">
        <v>25</v>
      </c>
      <c r="E85" s="21"/>
      <c r="F85" s="44">
        <f>SUM(F86:F88)</f>
        <v>0</v>
      </c>
      <c r="G85" s="44">
        <f>SUM(G86:G88)</f>
        <v>0</v>
      </c>
      <c r="H85" s="44">
        <f>SUM(H86:H88)</f>
        <v>0</v>
      </c>
      <c r="I85" s="22" t="s">
        <v>25</v>
      </c>
    </row>
    <row r="86" spans="1:9" s="4" customFormat="1" ht="21.6" customHeight="1" x14ac:dyDescent="0.2">
      <c r="A86" s="126" t="s">
        <v>89</v>
      </c>
      <c r="B86" s="126"/>
      <c r="C86" s="21">
        <v>2410</v>
      </c>
      <c r="D86" s="21">
        <v>613</v>
      </c>
      <c r="E86" s="21"/>
      <c r="F86" s="22"/>
      <c r="G86" s="22"/>
      <c r="H86" s="22"/>
      <c r="I86" s="22" t="s">
        <v>25</v>
      </c>
    </row>
    <row r="87" spans="1:9" s="4" customFormat="1" ht="15" customHeight="1" x14ac:dyDescent="0.2">
      <c r="A87" s="126" t="s">
        <v>90</v>
      </c>
      <c r="B87" s="126"/>
      <c r="C87" s="21">
        <v>2420</v>
      </c>
      <c r="D87" s="21">
        <v>623</v>
      </c>
      <c r="E87" s="21"/>
      <c r="F87" s="22"/>
      <c r="G87" s="22"/>
      <c r="H87" s="22"/>
      <c r="I87" s="22" t="s">
        <v>25</v>
      </c>
    </row>
    <row r="88" spans="1:9" s="4" customFormat="1" ht="30" customHeight="1" x14ac:dyDescent="0.2">
      <c r="A88" s="126" t="s">
        <v>91</v>
      </c>
      <c r="B88" s="126"/>
      <c r="C88" s="21">
        <v>2430</v>
      </c>
      <c r="D88" s="21">
        <v>634</v>
      </c>
      <c r="E88" s="21"/>
      <c r="F88" s="22"/>
      <c r="G88" s="22"/>
      <c r="H88" s="22"/>
      <c r="I88" s="22" t="s">
        <v>25</v>
      </c>
    </row>
    <row r="89" spans="1:9" s="4" customFormat="1" ht="16.899999999999999" customHeight="1" x14ac:dyDescent="0.2">
      <c r="A89" s="139" t="s">
        <v>92</v>
      </c>
      <c r="B89" s="140"/>
      <c r="C89" s="21">
        <v>2440</v>
      </c>
      <c r="D89" s="21">
        <v>810</v>
      </c>
      <c r="E89" s="21"/>
      <c r="F89" s="22"/>
      <c r="G89" s="22"/>
      <c r="H89" s="22"/>
      <c r="I89" s="22"/>
    </row>
    <row r="90" spans="1:9" s="4" customFormat="1" ht="16.899999999999999" customHeight="1" x14ac:dyDescent="0.2">
      <c r="A90" s="139" t="s">
        <v>93</v>
      </c>
      <c r="B90" s="140"/>
      <c r="C90" s="21">
        <v>2450</v>
      </c>
      <c r="D90" s="21">
        <v>862</v>
      </c>
      <c r="E90" s="21"/>
      <c r="F90" s="22"/>
      <c r="G90" s="22"/>
      <c r="H90" s="22"/>
      <c r="I90" s="22"/>
    </row>
    <row r="91" spans="1:9" s="4" customFormat="1" ht="30.75" customHeight="1" x14ac:dyDescent="0.2">
      <c r="A91" s="139" t="s">
        <v>94</v>
      </c>
      <c r="B91" s="140"/>
      <c r="C91" s="21">
        <v>2460</v>
      </c>
      <c r="D91" s="21">
        <v>863</v>
      </c>
      <c r="E91" s="21"/>
      <c r="F91" s="22"/>
      <c r="G91" s="22"/>
      <c r="H91" s="22"/>
      <c r="I91" s="22"/>
    </row>
    <row r="92" spans="1:9" s="4" customFormat="1" ht="15" customHeight="1" x14ac:dyDescent="0.2">
      <c r="A92" s="126" t="s">
        <v>95</v>
      </c>
      <c r="B92" s="126"/>
      <c r="C92" s="21">
        <v>2500</v>
      </c>
      <c r="D92" s="21" t="s">
        <v>25</v>
      </c>
      <c r="E92" s="21"/>
      <c r="F92" s="44">
        <f>F93</f>
        <v>0</v>
      </c>
      <c r="G92" s="44">
        <f>G93</f>
        <v>0</v>
      </c>
      <c r="H92" s="44">
        <f>H93</f>
        <v>0</v>
      </c>
      <c r="I92" s="22" t="s">
        <v>25</v>
      </c>
    </row>
    <row r="93" spans="1:9" s="4" customFormat="1" ht="31.5" customHeight="1" x14ac:dyDescent="0.2">
      <c r="A93" s="126" t="s">
        <v>96</v>
      </c>
      <c r="B93" s="126"/>
      <c r="C93" s="21">
        <v>2520</v>
      </c>
      <c r="D93" s="21">
        <v>831</v>
      </c>
      <c r="E93" s="21"/>
      <c r="F93" s="22"/>
      <c r="G93" s="22"/>
      <c r="H93" s="22"/>
      <c r="I93" s="22" t="s">
        <v>25</v>
      </c>
    </row>
    <row r="94" spans="1:9" s="76" customFormat="1" ht="15" customHeight="1" x14ac:dyDescent="0.2">
      <c r="A94" s="141" t="s">
        <v>97</v>
      </c>
      <c r="B94" s="141"/>
      <c r="C94" s="25">
        <v>2600</v>
      </c>
      <c r="D94" s="25" t="s">
        <v>25</v>
      </c>
      <c r="E94" s="25"/>
      <c r="F94" s="45">
        <f>F95+F96+F97+F109+F106</f>
        <v>18138569.52</v>
      </c>
      <c r="G94" s="45">
        <f>G95+G96+G97+G109+G106</f>
        <v>19203604.689999998</v>
      </c>
      <c r="H94" s="45">
        <f>H95+H96+H97+H109+H106</f>
        <v>18904984.009999998</v>
      </c>
      <c r="I94" s="26"/>
    </row>
    <row r="95" spans="1:9" s="4" customFormat="1" ht="30" customHeight="1" x14ac:dyDescent="0.2">
      <c r="A95" s="126" t="s">
        <v>98</v>
      </c>
      <c r="B95" s="126"/>
      <c r="C95" s="21">
        <v>2610</v>
      </c>
      <c r="D95" s="21">
        <v>241</v>
      </c>
      <c r="E95" s="21"/>
      <c r="F95" s="22"/>
      <c r="G95" s="22"/>
      <c r="H95" s="22"/>
      <c r="I95" s="22"/>
    </row>
    <row r="96" spans="1:9" s="4" customFormat="1" ht="27.75" customHeight="1" x14ac:dyDescent="0.2">
      <c r="A96" s="126" t="s">
        <v>99</v>
      </c>
      <c r="B96" s="126"/>
      <c r="C96" s="21">
        <v>2630</v>
      </c>
      <c r="D96" s="21">
        <v>243</v>
      </c>
      <c r="E96" s="21"/>
      <c r="F96" s="22"/>
      <c r="G96" s="22"/>
      <c r="H96" s="22"/>
      <c r="I96" s="22"/>
    </row>
    <row r="97" spans="1:9" s="76" customFormat="1" ht="15" customHeight="1" x14ac:dyDescent="0.2">
      <c r="A97" s="141" t="s">
        <v>100</v>
      </c>
      <c r="B97" s="141"/>
      <c r="C97" s="25">
        <v>2640</v>
      </c>
      <c r="D97" s="25">
        <v>244</v>
      </c>
      <c r="E97" s="25"/>
      <c r="F97" s="45">
        <f>SUM(F98:F105)</f>
        <v>15036518.560000001</v>
      </c>
      <c r="G97" s="45">
        <f>SUM(G98:G104)</f>
        <v>16852416.689999998</v>
      </c>
      <c r="H97" s="45">
        <f>SUM(H98:H104)</f>
        <v>16553796.009999998</v>
      </c>
      <c r="I97" s="26"/>
    </row>
    <row r="98" spans="1:9" s="4" customFormat="1" ht="14.45" customHeight="1" x14ac:dyDescent="0.2">
      <c r="A98" s="144" t="s">
        <v>101</v>
      </c>
      <c r="B98" s="145"/>
      <c r="C98" s="21"/>
      <c r="D98" s="23"/>
      <c r="E98" s="21"/>
      <c r="F98" s="22"/>
      <c r="G98" s="22"/>
      <c r="H98" s="22"/>
      <c r="I98" s="22"/>
    </row>
    <row r="99" spans="1:9" s="4" customFormat="1" ht="16.149999999999999" customHeight="1" x14ac:dyDescent="0.2">
      <c r="A99" s="126" t="s">
        <v>102</v>
      </c>
      <c r="B99" s="126"/>
      <c r="C99" s="21">
        <v>2641</v>
      </c>
      <c r="D99" s="23" t="s">
        <v>103</v>
      </c>
      <c r="E99" s="21"/>
      <c r="F99" s="22">
        <v>570020.48</v>
      </c>
      <c r="G99" s="22">
        <v>234490.45</v>
      </c>
      <c r="H99" s="22">
        <v>234490.45</v>
      </c>
      <c r="I99" s="22"/>
    </row>
    <row r="100" spans="1:9" s="4" customFormat="1" ht="13.15" customHeight="1" x14ac:dyDescent="0.2">
      <c r="A100" s="126" t="s">
        <v>104</v>
      </c>
      <c r="B100" s="126"/>
      <c r="C100" s="21">
        <v>2642</v>
      </c>
      <c r="D100" s="23" t="s">
        <v>103</v>
      </c>
      <c r="E100" s="21"/>
      <c r="F100" s="22">
        <v>409623.62</v>
      </c>
      <c r="G100" s="22">
        <v>290000</v>
      </c>
      <c r="H100" s="22">
        <v>290000</v>
      </c>
      <c r="I100" s="22"/>
    </row>
    <row r="101" spans="1:9" s="4" customFormat="1" ht="15" customHeight="1" x14ac:dyDescent="0.2">
      <c r="A101" s="144" t="s">
        <v>105</v>
      </c>
      <c r="B101" s="145"/>
      <c r="C101" s="24">
        <v>2643</v>
      </c>
      <c r="D101" s="23" t="s">
        <v>103</v>
      </c>
      <c r="E101" s="21"/>
      <c r="F101" s="22">
        <f>951580.15+181100-50</f>
        <v>1132630.1499999999</v>
      </c>
      <c r="G101" s="22">
        <f>273209.72+50000</f>
        <v>323209.71999999997</v>
      </c>
      <c r="H101" s="22">
        <f>273209.72+50000</f>
        <v>323209.71999999997</v>
      </c>
      <c r="I101" s="22"/>
    </row>
    <row r="102" spans="1:9" s="4" customFormat="1" ht="14.45" customHeight="1" x14ac:dyDescent="0.2">
      <c r="A102" s="126" t="s">
        <v>106</v>
      </c>
      <c r="B102" s="126"/>
      <c r="C102" s="21">
        <v>2644</v>
      </c>
      <c r="D102" s="23" t="s">
        <v>103</v>
      </c>
      <c r="E102" s="21"/>
      <c r="F102" s="22">
        <f>9576384.84-480.1-27191.25</f>
        <v>9548713.4900000002</v>
      </c>
      <c r="G102" s="22">
        <f>535232.88+1799245.32+205000+8792949.77+45350+25100+11600+236850+18223.07</f>
        <v>11669551.039999999</v>
      </c>
      <c r="H102" s="22">
        <f>535232.88+1799245.32+205000+45350+22330.32+8036+236850+8541399.36</f>
        <v>11393443.879999999</v>
      </c>
      <c r="I102" s="22"/>
    </row>
    <row r="103" spans="1:9" s="4" customFormat="1" ht="16.149999999999999" customHeight="1" x14ac:dyDescent="0.2">
      <c r="A103" s="126" t="s">
        <v>107</v>
      </c>
      <c r="B103" s="126"/>
      <c r="C103" s="24">
        <v>2645</v>
      </c>
      <c r="D103" s="23" t="s">
        <v>103</v>
      </c>
      <c r="E103" s="21"/>
      <c r="F103" s="22">
        <f>2550776.94-98220+1930</f>
        <v>2454486.94</v>
      </c>
      <c r="G103" s="22">
        <f>1857200+1500000</f>
        <v>3357200</v>
      </c>
      <c r="H103" s="22">
        <f>1857200+1500000</f>
        <v>3357200</v>
      </c>
      <c r="I103" s="22"/>
    </row>
    <row r="104" spans="1:9" s="4" customFormat="1" ht="13.9" customHeight="1" x14ac:dyDescent="0.2">
      <c r="A104" s="126" t="s">
        <v>108</v>
      </c>
      <c r="B104" s="126"/>
      <c r="C104" s="24">
        <v>2646</v>
      </c>
      <c r="D104" s="23" t="s">
        <v>103</v>
      </c>
      <c r="E104" s="21"/>
      <c r="F104" s="22">
        <f>718860.58+105843.3+98220-1880</f>
        <v>921043.88</v>
      </c>
      <c r="G104" s="22">
        <f>20665.48+62000+654400+300000+22000+25000-106100</f>
        <v>977965.48</v>
      </c>
      <c r="H104" s="22">
        <f>20665.48+62000+654400+300000+22000+25000-128613.52</f>
        <v>955451.96</v>
      </c>
      <c r="I104" s="22"/>
    </row>
    <row r="105" spans="1:9" s="4" customFormat="1" ht="10.15" customHeight="1" x14ac:dyDescent="0.2">
      <c r="A105" s="139"/>
      <c r="B105" s="140"/>
      <c r="C105" s="24"/>
      <c r="D105" s="23"/>
      <c r="E105" s="21"/>
      <c r="F105" s="22"/>
      <c r="G105" s="22"/>
      <c r="H105" s="22"/>
      <c r="I105" s="22"/>
    </row>
    <row r="106" spans="1:9" s="76" customFormat="1" ht="17.45" customHeight="1" x14ac:dyDescent="0.2">
      <c r="A106" s="142" t="s">
        <v>211</v>
      </c>
      <c r="B106" s="143" t="s">
        <v>211</v>
      </c>
      <c r="C106" s="74">
        <v>2660</v>
      </c>
      <c r="D106" s="75" t="s">
        <v>212</v>
      </c>
      <c r="E106" s="25"/>
      <c r="F106" s="77">
        <f>F108</f>
        <v>3102050.96</v>
      </c>
      <c r="G106" s="77">
        <f>G108</f>
        <v>2351188</v>
      </c>
      <c r="H106" s="77">
        <f>H108</f>
        <v>2351188</v>
      </c>
      <c r="I106" s="26"/>
    </row>
    <row r="107" spans="1:9" s="4" customFormat="1" ht="17.45" customHeight="1" x14ac:dyDescent="0.2">
      <c r="A107" s="144" t="s">
        <v>50</v>
      </c>
      <c r="B107" s="145" t="s">
        <v>50</v>
      </c>
      <c r="C107" s="24"/>
      <c r="D107" s="23"/>
      <c r="E107" s="21"/>
      <c r="F107" s="22"/>
      <c r="G107" s="22"/>
      <c r="H107" s="22"/>
      <c r="I107" s="22"/>
    </row>
    <row r="108" spans="1:9" s="4" customFormat="1" ht="17.45" customHeight="1" x14ac:dyDescent="0.2">
      <c r="A108" s="144" t="s">
        <v>104</v>
      </c>
      <c r="B108" s="145" t="s">
        <v>104</v>
      </c>
      <c r="C108" s="24">
        <v>2661</v>
      </c>
      <c r="D108" s="23" t="s">
        <v>212</v>
      </c>
      <c r="E108" s="21"/>
      <c r="F108" s="22">
        <v>3102050.96</v>
      </c>
      <c r="G108" s="22">
        <v>2351188</v>
      </c>
      <c r="H108" s="22">
        <v>2351188</v>
      </c>
      <c r="I108" s="22"/>
    </row>
    <row r="109" spans="1:9" s="4" customFormat="1" ht="21.6" customHeight="1" x14ac:dyDescent="0.2">
      <c r="A109" s="139" t="s">
        <v>109</v>
      </c>
      <c r="B109" s="140"/>
      <c r="C109" s="21">
        <v>2650</v>
      </c>
      <c r="D109" s="21">
        <v>400</v>
      </c>
      <c r="E109" s="21"/>
      <c r="F109" s="22">
        <f>F110+F111</f>
        <v>0</v>
      </c>
      <c r="G109" s="22">
        <f>G110+G111</f>
        <v>0</v>
      </c>
      <c r="H109" s="22">
        <f>H110+H111</f>
        <v>0</v>
      </c>
      <c r="I109" s="22">
        <f>I110+I111</f>
        <v>0</v>
      </c>
    </row>
    <row r="110" spans="1:9" s="4" customFormat="1" ht="37.9" customHeight="1" x14ac:dyDescent="0.2">
      <c r="A110" s="139" t="s">
        <v>110</v>
      </c>
      <c r="B110" s="140"/>
      <c r="C110" s="21">
        <v>2651</v>
      </c>
      <c r="D110" s="21">
        <v>406</v>
      </c>
      <c r="E110" s="21"/>
      <c r="F110" s="22"/>
      <c r="G110" s="22"/>
      <c r="H110" s="22"/>
      <c r="I110" s="22"/>
    </row>
    <row r="111" spans="1:9" s="4" customFormat="1" ht="30" customHeight="1" x14ac:dyDescent="0.2">
      <c r="A111" s="139" t="s">
        <v>111</v>
      </c>
      <c r="B111" s="140"/>
      <c r="C111" s="21">
        <v>2652</v>
      </c>
      <c r="D111" s="21">
        <v>407</v>
      </c>
      <c r="E111" s="21"/>
      <c r="F111" s="22"/>
      <c r="G111" s="22"/>
      <c r="H111" s="22"/>
      <c r="I111" s="22"/>
    </row>
    <row r="112" spans="1:9" s="4" customFormat="1" ht="15" customHeight="1" x14ac:dyDescent="0.2">
      <c r="A112" s="141" t="s">
        <v>112</v>
      </c>
      <c r="B112" s="141"/>
      <c r="C112" s="25">
        <v>3000</v>
      </c>
      <c r="D112" s="25">
        <v>100</v>
      </c>
      <c r="E112" s="21"/>
      <c r="F112" s="45">
        <f>SUM(F113:F115)</f>
        <v>0</v>
      </c>
      <c r="G112" s="45">
        <f>SUM(G113:G115)</f>
        <v>0</v>
      </c>
      <c r="H112" s="45">
        <f>SUM(H113:H115)</f>
        <v>0</v>
      </c>
      <c r="I112" s="26" t="s">
        <v>25</v>
      </c>
    </row>
    <row r="113" spans="1:9" s="4" customFormat="1" ht="26.25" customHeight="1" x14ac:dyDescent="0.2">
      <c r="A113" s="126" t="s">
        <v>113</v>
      </c>
      <c r="B113" s="126"/>
      <c r="C113" s="21">
        <v>3010</v>
      </c>
      <c r="D113" s="21"/>
      <c r="E113" s="25"/>
      <c r="F113" s="22"/>
      <c r="G113" s="22"/>
      <c r="H113" s="22"/>
      <c r="I113" s="22" t="s">
        <v>25</v>
      </c>
    </row>
    <row r="114" spans="1:9" s="4" customFormat="1" ht="15" customHeight="1" x14ac:dyDescent="0.2">
      <c r="A114" s="126" t="s">
        <v>114</v>
      </c>
      <c r="B114" s="126"/>
      <c r="C114" s="21">
        <v>3020</v>
      </c>
      <c r="D114" s="21"/>
      <c r="E114" s="21"/>
      <c r="F114" s="22"/>
      <c r="G114" s="22"/>
      <c r="H114" s="22"/>
      <c r="I114" s="22" t="s">
        <v>25</v>
      </c>
    </row>
    <row r="115" spans="1:9" s="4" customFormat="1" ht="15" customHeight="1" x14ac:dyDescent="0.2">
      <c r="A115" s="126" t="s">
        <v>115</v>
      </c>
      <c r="B115" s="126"/>
      <c r="C115" s="21">
        <v>3030</v>
      </c>
      <c r="D115" s="21"/>
      <c r="E115" s="21"/>
      <c r="F115" s="22"/>
      <c r="G115" s="22"/>
      <c r="H115" s="22"/>
      <c r="I115" s="22" t="s">
        <v>25</v>
      </c>
    </row>
    <row r="116" spans="1:9" s="4" customFormat="1" ht="15" customHeight="1" x14ac:dyDescent="0.2">
      <c r="A116" s="141" t="s">
        <v>116</v>
      </c>
      <c r="B116" s="141"/>
      <c r="C116" s="25">
        <v>4000</v>
      </c>
      <c r="D116" s="25" t="s">
        <v>25</v>
      </c>
      <c r="E116" s="21"/>
      <c r="F116" s="45">
        <f>F117</f>
        <v>472086.57</v>
      </c>
      <c r="G116" s="26">
        <f>G117</f>
        <v>0</v>
      </c>
      <c r="H116" s="26">
        <f>H117</f>
        <v>0</v>
      </c>
      <c r="I116" s="26" t="s">
        <v>25</v>
      </c>
    </row>
    <row r="117" spans="1:9" s="4" customFormat="1" ht="25.5" customHeight="1" x14ac:dyDescent="0.2">
      <c r="A117" s="126" t="s">
        <v>117</v>
      </c>
      <c r="B117" s="126"/>
      <c r="C117" s="21">
        <v>4010</v>
      </c>
      <c r="D117" s="21">
        <v>610</v>
      </c>
      <c r="E117" s="25"/>
      <c r="F117" s="22">
        <f>378548.25+72228.32+21310</f>
        <v>472086.57</v>
      </c>
      <c r="G117" s="22"/>
      <c r="H117" s="22"/>
      <c r="I117" s="22" t="s">
        <v>25</v>
      </c>
    </row>
    <row r="118" spans="1:9" s="4" customFormat="1" ht="9.6" customHeight="1" x14ac:dyDescent="0.2">
      <c r="A118" s="27"/>
      <c r="B118" s="28"/>
      <c r="C118" s="29"/>
      <c r="D118" s="29"/>
      <c r="E118" s="30"/>
      <c r="F118" s="31"/>
      <c r="G118" s="31"/>
      <c r="H118" s="31"/>
      <c r="I118" s="31"/>
    </row>
    <row r="119" spans="1:9" x14ac:dyDescent="0.25">
      <c r="A119" s="127" t="s">
        <v>118</v>
      </c>
      <c r="B119" s="127"/>
      <c r="C119" s="127"/>
      <c r="D119" s="127"/>
      <c r="E119" s="127"/>
      <c r="F119" s="127"/>
      <c r="G119" s="127"/>
      <c r="H119" s="127"/>
      <c r="I119" s="32"/>
    </row>
    <row r="120" spans="1:9" ht="7.9" customHeight="1" x14ac:dyDescent="0.25">
      <c r="A120" s="33"/>
      <c r="B120" s="32"/>
      <c r="C120" s="34"/>
      <c r="D120" s="34"/>
      <c r="E120" s="34"/>
      <c r="F120" s="34"/>
      <c r="G120" s="34"/>
      <c r="H120" s="34"/>
      <c r="I120" s="32"/>
    </row>
    <row r="121" spans="1:9" ht="15.6" customHeight="1" x14ac:dyDescent="0.25">
      <c r="A121" s="128" t="s">
        <v>119</v>
      </c>
      <c r="B121" s="128" t="s">
        <v>12</v>
      </c>
      <c r="C121" s="128" t="s">
        <v>120</v>
      </c>
      <c r="D121" s="128" t="s">
        <v>121</v>
      </c>
      <c r="E121" s="131" t="s">
        <v>14</v>
      </c>
      <c r="F121" s="134" t="s">
        <v>16</v>
      </c>
      <c r="G121" s="135"/>
      <c r="H121" s="135"/>
      <c r="I121" s="136"/>
    </row>
    <row r="122" spans="1:9" ht="19.899999999999999" customHeight="1" x14ac:dyDescent="0.25">
      <c r="A122" s="129"/>
      <c r="B122" s="129"/>
      <c r="C122" s="129"/>
      <c r="D122" s="129"/>
      <c r="E122" s="132"/>
      <c r="F122" s="11" t="s">
        <v>17</v>
      </c>
      <c r="G122" s="11" t="s">
        <v>18</v>
      </c>
      <c r="H122" s="11" t="s">
        <v>218</v>
      </c>
      <c r="I122" s="137" t="s">
        <v>19</v>
      </c>
    </row>
    <row r="123" spans="1:9" ht="36.6" customHeight="1" x14ac:dyDescent="0.25">
      <c r="A123" s="130"/>
      <c r="B123" s="130"/>
      <c r="C123" s="130"/>
      <c r="D123" s="130"/>
      <c r="E123" s="133"/>
      <c r="F123" s="11" t="s">
        <v>20</v>
      </c>
      <c r="G123" s="11" t="s">
        <v>21</v>
      </c>
      <c r="H123" s="11" t="s">
        <v>22</v>
      </c>
      <c r="I123" s="138"/>
    </row>
    <row r="124" spans="1:9" ht="14.45" customHeight="1" x14ac:dyDescent="0.25">
      <c r="A124" s="19">
        <v>1</v>
      </c>
      <c r="B124" s="11">
        <v>2</v>
      </c>
      <c r="C124" s="11">
        <v>3</v>
      </c>
      <c r="D124" s="11">
        <v>4</v>
      </c>
      <c r="E124" s="12" t="s">
        <v>122</v>
      </c>
      <c r="F124" s="11">
        <v>5</v>
      </c>
      <c r="G124" s="11">
        <v>6</v>
      </c>
      <c r="H124" s="11">
        <v>7</v>
      </c>
      <c r="I124" s="11">
        <v>8</v>
      </c>
    </row>
    <row r="125" spans="1:9" ht="21" customHeight="1" x14ac:dyDescent="0.25">
      <c r="A125" s="19">
        <v>1</v>
      </c>
      <c r="B125" s="35" t="s">
        <v>123</v>
      </c>
      <c r="C125" s="25">
        <v>26000</v>
      </c>
      <c r="D125" s="25" t="s">
        <v>25</v>
      </c>
      <c r="E125" s="10" t="s">
        <v>25</v>
      </c>
      <c r="F125" s="45">
        <f>F126+F127+F128+F132</f>
        <v>18138569.520000003</v>
      </c>
      <c r="G125" s="45">
        <f>G126+G127+G128+G132</f>
        <v>19203604.689999998</v>
      </c>
      <c r="H125" s="45">
        <f>H126+H127+H128+H132</f>
        <v>18904984.009999998</v>
      </c>
      <c r="I125" s="26">
        <f>I126+I127+I128+I132</f>
        <v>0</v>
      </c>
    </row>
    <row r="126" spans="1:9" ht="145.15" customHeight="1" x14ac:dyDescent="0.25">
      <c r="A126" s="36" t="s">
        <v>124</v>
      </c>
      <c r="B126" s="37" t="s">
        <v>125</v>
      </c>
      <c r="C126" s="38">
        <v>26100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9" ht="40.9" customHeight="1" x14ac:dyDescent="0.25">
      <c r="A127" s="36" t="s">
        <v>126</v>
      </c>
      <c r="B127" s="37" t="s">
        <v>127</v>
      </c>
      <c r="C127" s="38">
        <v>26200</v>
      </c>
      <c r="D127" s="21" t="s">
        <v>25</v>
      </c>
      <c r="E127" s="10" t="s">
        <v>25</v>
      </c>
      <c r="F127" s="22"/>
      <c r="G127" s="22"/>
      <c r="H127" s="22"/>
      <c r="I127" s="22"/>
    </row>
    <row r="128" spans="1:9" ht="39" customHeight="1" x14ac:dyDescent="0.25">
      <c r="A128" s="36" t="s">
        <v>128</v>
      </c>
      <c r="B128" s="37" t="s">
        <v>129</v>
      </c>
      <c r="C128" s="38">
        <v>26300</v>
      </c>
      <c r="D128" s="21" t="s">
        <v>25</v>
      </c>
      <c r="E128" s="10" t="s">
        <v>25</v>
      </c>
      <c r="F128" s="22">
        <v>4273527.2</v>
      </c>
      <c r="G128" s="22">
        <v>0</v>
      </c>
      <c r="H128" s="22">
        <v>0</v>
      </c>
      <c r="I128" s="22"/>
    </row>
    <row r="129" spans="1:12" ht="14.45" customHeight="1" x14ac:dyDescent="0.25">
      <c r="A129" s="39" t="s">
        <v>130</v>
      </c>
      <c r="B129" s="37" t="s">
        <v>131</v>
      </c>
      <c r="C129" s="38">
        <v>26310</v>
      </c>
      <c r="D129" s="21" t="s">
        <v>25</v>
      </c>
      <c r="E129" s="40" t="s">
        <v>25</v>
      </c>
      <c r="F129" s="44">
        <f>F128</f>
        <v>4273527.2</v>
      </c>
      <c r="G129" s="22"/>
      <c r="H129" s="22"/>
      <c r="I129" s="22"/>
    </row>
    <row r="130" spans="1:12" x14ac:dyDescent="0.25">
      <c r="A130" s="39"/>
      <c r="B130" s="37" t="s">
        <v>191</v>
      </c>
      <c r="C130" s="38" t="s">
        <v>132</v>
      </c>
      <c r="D130" s="21" t="s">
        <v>25</v>
      </c>
      <c r="E130" s="10">
        <v>150</v>
      </c>
      <c r="F130" s="22">
        <v>35880</v>
      </c>
      <c r="G130" s="22"/>
      <c r="H130" s="22"/>
      <c r="I130" s="22"/>
      <c r="J130" s="53"/>
      <c r="K130" s="53"/>
    </row>
    <row r="131" spans="1:12" ht="15.6" customHeight="1" x14ac:dyDescent="0.25">
      <c r="A131" s="39" t="s">
        <v>133</v>
      </c>
      <c r="B131" s="37" t="s">
        <v>134</v>
      </c>
      <c r="C131" s="38">
        <v>26320</v>
      </c>
      <c r="D131" s="21" t="s">
        <v>25</v>
      </c>
      <c r="E131" s="10" t="s">
        <v>25</v>
      </c>
      <c r="F131" s="22"/>
      <c r="G131" s="22"/>
      <c r="H131" s="22"/>
      <c r="I131" s="22"/>
    </row>
    <row r="132" spans="1:12" ht="39.6" customHeight="1" x14ac:dyDescent="0.25">
      <c r="A132" s="36" t="s">
        <v>135</v>
      </c>
      <c r="B132" s="37" t="s">
        <v>136</v>
      </c>
      <c r="C132" s="38">
        <v>26400</v>
      </c>
      <c r="D132" s="21" t="s">
        <v>25</v>
      </c>
      <c r="E132" s="10" t="s">
        <v>25</v>
      </c>
      <c r="F132" s="44">
        <f>F133+F136+F143+F145+F148</f>
        <v>13865042.320000002</v>
      </c>
      <c r="G132" s="44">
        <f>G133+G136+G143+G145+G148</f>
        <v>19203604.689999998</v>
      </c>
      <c r="H132" s="44">
        <f>H133+H136+H143+H145+H148</f>
        <v>18904984.009999998</v>
      </c>
      <c r="I132" s="22">
        <f>I133+I136+I143+I145+I148</f>
        <v>0</v>
      </c>
      <c r="J132" s="50"/>
      <c r="K132" s="6"/>
      <c r="L132" s="6"/>
    </row>
    <row r="133" spans="1:12" ht="38.450000000000003" customHeight="1" x14ac:dyDescent="0.25">
      <c r="A133" s="39" t="s">
        <v>137</v>
      </c>
      <c r="B133" s="37" t="s">
        <v>138</v>
      </c>
      <c r="C133" s="38">
        <v>26410</v>
      </c>
      <c r="D133" s="21" t="s">
        <v>25</v>
      </c>
      <c r="E133" s="10" t="s">
        <v>25</v>
      </c>
      <c r="F133" s="44">
        <f>F134+F135</f>
        <v>4454324.4799999995</v>
      </c>
      <c r="G133" s="44">
        <f>G134+G135</f>
        <v>6583666.3699999973</v>
      </c>
      <c r="H133" s="44">
        <f>H134+H135</f>
        <v>6561152.8499999996</v>
      </c>
      <c r="I133" s="22">
        <f>I134+I135</f>
        <v>0</v>
      </c>
    </row>
    <row r="134" spans="1:12" ht="26.25" x14ac:dyDescent="0.25">
      <c r="A134" s="39" t="s">
        <v>139</v>
      </c>
      <c r="B134" s="37" t="s">
        <v>140</v>
      </c>
      <c r="C134" s="38">
        <v>26411</v>
      </c>
      <c r="D134" s="21" t="s">
        <v>25</v>
      </c>
      <c r="E134" s="10" t="s">
        <v>25</v>
      </c>
      <c r="F134" s="44">
        <f>F94-F128-F136-F148-F126</f>
        <v>4454324.4799999995</v>
      </c>
      <c r="G134" s="44">
        <f>G94-G128-G136-G148</f>
        <v>6583666.3699999973</v>
      </c>
      <c r="H134" s="44">
        <f>H94-H128-H136-H148</f>
        <v>6561152.8499999996</v>
      </c>
      <c r="I134" s="22"/>
    </row>
    <row r="135" spans="1:12" ht="19.899999999999999" customHeight="1" x14ac:dyDescent="0.25">
      <c r="A135" s="39" t="s">
        <v>141</v>
      </c>
      <c r="B135" s="37" t="s">
        <v>142</v>
      </c>
      <c r="C135" s="21">
        <v>26412</v>
      </c>
      <c r="D135" s="21" t="s">
        <v>25</v>
      </c>
      <c r="E135" s="10" t="s">
        <v>25</v>
      </c>
      <c r="F135" s="22"/>
      <c r="G135" s="22"/>
      <c r="H135" s="22"/>
      <c r="I135" s="22"/>
    </row>
    <row r="136" spans="1:12" ht="28.9" customHeight="1" x14ac:dyDescent="0.25">
      <c r="A136" s="39" t="s">
        <v>143</v>
      </c>
      <c r="B136" s="37" t="s">
        <v>144</v>
      </c>
      <c r="C136" s="38">
        <v>26420</v>
      </c>
      <c r="D136" s="21" t="s">
        <v>25</v>
      </c>
      <c r="E136" s="10" t="s">
        <v>25</v>
      </c>
      <c r="F136" s="44">
        <f>F137+F142</f>
        <v>8968918.870000001</v>
      </c>
      <c r="G136" s="44">
        <f>G137+G142</f>
        <v>12537272.84</v>
      </c>
      <c r="H136" s="44">
        <f>H137+H142</f>
        <v>12261165.679999998</v>
      </c>
      <c r="I136" s="22">
        <f>I137+I142</f>
        <v>0</v>
      </c>
    </row>
    <row r="137" spans="1:12" ht="26.45" customHeight="1" x14ac:dyDescent="0.25">
      <c r="A137" s="39" t="s">
        <v>145</v>
      </c>
      <c r="B137" s="37" t="s">
        <v>140</v>
      </c>
      <c r="C137" s="38">
        <v>26421</v>
      </c>
      <c r="D137" s="21" t="s">
        <v>25</v>
      </c>
      <c r="E137" s="10" t="s">
        <v>25</v>
      </c>
      <c r="F137" s="82">
        <f>F36-76804.92-23195.08-F55-F130-F41</f>
        <v>8968918.870000001</v>
      </c>
      <c r="G137" s="44">
        <f>G36-76804.92-23195.08-G55</f>
        <v>12537272.84</v>
      </c>
      <c r="H137" s="44">
        <f>H36-76804.92-23195.08-H55</f>
        <v>12261165.679999998</v>
      </c>
      <c r="I137" s="22"/>
    </row>
    <row r="138" spans="1:12" ht="15.6" customHeight="1" x14ac:dyDescent="0.25">
      <c r="A138" s="39"/>
      <c r="B138" s="37" t="s">
        <v>146</v>
      </c>
      <c r="C138" s="38" t="s">
        <v>147</v>
      </c>
      <c r="D138" s="21" t="s">
        <v>25</v>
      </c>
      <c r="E138" s="10">
        <v>150</v>
      </c>
      <c r="F138" s="44">
        <f>F137-F139-F140-F141</f>
        <v>2986848.87</v>
      </c>
      <c r="G138" s="44">
        <f>G137-G139-G140-G141</f>
        <v>3744323.0699999994</v>
      </c>
      <c r="H138" s="44">
        <f>H137-H139-H140-H141</f>
        <v>3719766.319999998</v>
      </c>
      <c r="I138" s="22"/>
      <c r="J138" s="51"/>
    </row>
    <row r="139" spans="1:12" ht="55.15" customHeight="1" x14ac:dyDescent="0.25">
      <c r="A139" s="39"/>
      <c r="B139" s="37" t="s">
        <v>198</v>
      </c>
      <c r="C139" s="38" t="s">
        <v>225</v>
      </c>
      <c r="D139" s="21" t="s">
        <v>25</v>
      </c>
      <c r="E139" s="10" t="s">
        <v>197</v>
      </c>
      <c r="F139" s="44">
        <f>F52</f>
        <v>4409984.5900000008</v>
      </c>
      <c r="G139" s="44">
        <v>6481945.7000000002</v>
      </c>
      <c r="H139" s="44">
        <f>H52</f>
        <v>6482395.7000000002</v>
      </c>
      <c r="I139" s="22"/>
      <c r="J139" s="51"/>
    </row>
    <row r="140" spans="1:12" ht="59.45" customHeight="1" x14ac:dyDescent="0.25">
      <c r="A140" s="39"/>
      <c r="B140" s="37" t="s">
        <v>199</v>
      </c>
      <c r="C140" s="38" t="s">
        <v>226</v>
      </c>
      <c r="D140" s="21" t="s">
        <v>25</v>
      </c>
      <c r="E140" s="10" t="s">
        <v>197</v>
      </c>
      <c r="F140" s="44">
        <f>F53</f>
        <v>1392623.2</v>
      </c>
      <c r="G140" s="44">
        <v>2046995.37</v>
      </c>
      <c r="H140" s="44">
        <f>H53</f>
        <v>1802579.38</v>
      </c>
      <c r="I140" s="22"/>
    </row>
    <row r="141" spans="1:12" ht="53.45" customHeight="1" x14ac:dyDescent="0.25">
      <c r="A141" s="39"/>
      <c r="B141" s="37" t="s">
        <v>200</v>
      </c>
      <c r="C141" s="38" t="s">
        <v>194</v>
      </c>
      <c r="D141" s="21" t="s">
        <v>25</v>
      </c>
      <c r="E141" s="10" t="s">
        <v>197</v>
      </c>
      <c r="F141" s="44">
        <f>F54</f>
        <v>179462.21</v>
      </c>
      <c r="G141" s="44">
        <v>264008.7</v>
      </c>
      <c r="H141" s="44">
        <f>H54</f>
        <v>256424.28</v>
      </c>
      <c r="I141" s="22"/>
    </row>
    <row r="142" spans="1:12" ht="19.899999999999999" customHeight="1" x14ac:dyDescent="0.25">
      <c r="A142" s="39" t="s">
        <v>148</v>
      </c>
      <c r="B142" s="37" t="s">
        <v>142</v>
      </c>
      <c r="C142" s="38">
        <v>26422</v>
      </c>
      <c r="D142" s="21" t="s">
        <v>25</v>
      </c>
      <c r="E142" s="10" t="s">
        <v>25</v>
      </c>
      <c r="F142" s="22"/>
      <c r="G142" s="22"/>
      <c r="H142" s="22"/>
      <c r="I142" s="22"/>
    </row>
    <row r="143" spans="1:12" ht="18.600000000000001" customHeight="1" x14ac:dyDescent="0.25">
      <c r="A143" s="39" t="s">
        <v>149</v>
      </c>
      <c r="B143" s="37" t="s">
        <v>150</v>
      </c>
      <c r="C143" s="38">
        <v>26430</v>
      </c>
      <c r="D143" s="21" t="s">
        <v>25</v>
      </c>
      <c r="E143" s="10" t="s">
        <v>25</v>
      </c>
      <c r="F143" s="22"/>
      <c r="G143" s="22"/>
      <c r="H143" s="22"/>
      <c r="I143" s="22"/>
      <c r="L143" s="51"/>
    </row>
    <row r="144" spans="1:12" ht="16.899999999999999" customHeight="1" x14ac:dyDescent="0.25">
      <c r="A144" s="39"/>
      <c r="B144" s="37" t="s">
        <v>146</v>
      </c>
      <c r="C144" s="38" t="s">
        <v>151</v>
      </c>
      <c r="D144" s="21" t="s">
        <v>25</v>
      </c>
      <c r="E144" s="10"/>
      <c r="F144" s="22"/>
      <c r="G144" s="22"/>
      <c r="H144" s="22"/>
      <c r="I144" s="22"/>
    </row>
    <row r="145" spans="1:10" ht="19.149999999999999" customHeight="1" x14ac:dyDescent="0.25">
      <c r="A145" s="39" t="s">
        <v>152</v>
      </c>
      <c r="B145" s="37" t="s">
        <v>153</v>
      </c>
      <c r="C145" s="38">
        <v>26440</v>
      </c>
      <c r="D145" s="21" t="s">
        <v>25</v>
      </c>
      <c r="E145" s="10" t="s">
        <v>25</v>
      </c>
      <c r="F145" s="44">
        <f>F146+F147</f>
        <v>0</v>
      </c>
      <c r="G145" s="44">
        <f>G146+G147</f>
        <v>0</v>
      </c>
      <c r="H145" s="44">
        <f>H146+H147</f>
        <v>0</v>
      </c>
      <c r="I145" s="22">
        <f>I146+I147</f>
        <v>0</v>
      </c>
    </row>
    <row r="146" spans="1:10" ht="27.6" customHeight="1" x14ac:dyDescent="0.25">
      <c r="A146" s="39" t="s">
        <v>154</v>
      </c>
      <c r="B146" s="37" t="s">
        <v>140</v>
      </c>
      <c r="C146" s="38">
        <v>26441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19.149999999999999" customHeight="1" x14ac:dyDescent="0.25">
      <c r="A147" s="41" t="s">
        <v>155</v>
      </c>
      <c r="B147" s="37" t="s">
        <v>142</v>
      </c>
      <c r="C147" s="38">
        <v>26442</v>
      </c>
      <c r="D147" s="21" t="s">
        <v>25</v>
      </c>
      <c r="E147" s="10" t="s">
        <v>25</v>
      </c>
      <c r="F147" s="22"/>
      <c r="G147" s="22"/>
      <c r="H147" s="22"/>
      <c r="I147" s="22"/>
    </row>
    <row r="148" spans="1:10" ht="19.899999999999999" customHeight="1" x14ac:dyDescent="0.25">
      <c r="A148" s="41" t="s">
        <v>156</v>
      </c>
      <c r="B148" s="37" t="s">
        <v>157</v>
      </c>
      <c r="C148" s="38">
        <v>26450</v>
      </c>
      <c r="D148" s="21" t="s">
        <v>25</v>
      </c>
      <c r="E148" s="10" t="s">
        <v>25</v>
      </c>
      <c r="F148" s="94">
        <f>F149+F151</f>
        <v>441798.97</v>
      </c>
      <c r="G148" s="94">
        <f>G149+G151</f>
        <v>82665.48</v>
      </c>
      <c r="H148" s="94">
        <f>H149+H151</f>
        <v>82665.48</v>
      </c>
      <c r="I148" s="22">
        <f>I149+I151</f>
        <v>0</v>
      </c>
    </row>
    <row r="149" spans="1:10" ht="26.25" x14ac:dyDescent="0.25">
      <c r="A149" s="41" t="s">
        <v>158</v>
      </c>
      <c r="B149" s="37" t="s">
        <v>140</v>
      </c>
      <c r="C149" s="38">
        <v>26451</v>
      </c>
      <c r="D149" s="21" t="s">
        <v>25</v>
      </c>
      <c r="E149" s="10" t="s">
        <v>25</v>
      </c>
      <c r="F149" s="94">
        <v>441798.97</v>
      </c>
      <c r="G149" s="94">
        <f>20665.48+62000</f>
        <v>82665.48</v>
      </c>
      <c r="H149" s="94">
        <f>20665.48+62000</f>
        <v>82665.48</v>
      </c>
      <c r="I149" s="22"/>
    </row>
    <row r="150" spans="1:10" ht="19.149999999999999" customHeight="1" x14ac:dyDescent="0.25">
      <c r="A150" s="41"/>
      <c r="B150" s="37" t="s">
        <v>146</v>
      </c>
      <c r="C150" s="38" t="s">
        <v>159</v>
      </c>
      <c r="D150" s="21" t="s">
        <v>25</v>
      </c>
      <c r="E150" s="10">
        <v>150</v>
      </c>
      <c r="F150" s="49"/>
      <c r="G150" s="22"/>
      <c r="H150" s="22"/>
      <c r="I150" s="22"/>
      <c r="J150" s="53"/>
    </row>
    <row r="151" spans="1:10" ht="19.899999999999999" customHeight="1" x14ac:dyDescent="0.25">
      <c r="A151" s="41" t="s">
        <v>160</v>
      </c>
      <c r="B151" s="37" t="s">
        <v>142</v>
      </c>
      <c r="C151" s="38">
        <v>26452</v>
      </c>
      <c r="D151" s="21" t="s">
        <v>25</v>
      </c>
      <c r="E151" s="10" t="s">
        <v>25</v>
      </c>
      <c r="F151" s="22"/>
      <c r="G151" s="22"/>
      <c r="H151" s="22"/>
      <c r="I151" s="22"/>
    </row>
    <row r="152" spans="1:10" ht="42.6" customHeight="1" x14ac:dyDescent="0.25">
      <c r="A152" s="41" t="s">
        <v>161</v>
      </c>
      <c r="B152" s="37" t="s">
        <v>162</v>
      </c>
      <c r="C152" s="38">
        <v>26500</v>
      </c>
      <c r="D152" s="21" t="s">
        <v>25</v>
      </c>
      <c r="E152" s="10" t="s">
        <v>25</v>
      </c>
      <c r="F152" s="44">
        <f>F154+F155+F156</f>
        <v>13865042.320000002</v>
      </c>
      <c r="G152" s="44">
        <f>G154+G155+G156</f>
        <v>19203604.689999998</v>
      </c>
      <c r="H152" s="44">
        <f>H154+H155+H156</f>
        <v>18904984.009999998</v>
      </c>
      <c r="I152" s="22">
        <f>I153+I157</f>
        <v>0</v>
      </c>
    </row>
    <row r="153" spans="1:10" ht="15.6" customHeight="1" x14ac:dyDescent="0.25">
      <c r="A153" s="41"/>
      <c r="B153" s="37" t="s">
        <v>163</v>
      </c>
      <c r="C153" s="38">
        <v>26510</v>
      </c>
      <c r="D153" s="21"/>
      <c r="E153" s="10" t="s">
        <v>25</v>
      </c>
      <c r="F153" s="44"/>
      <c r="G153" s="44"/>
      <c r="H153" s="44"/>
      <c r="I153" s="22"/>
    </row>
    <row r="154" spans="1:10" ht="18.600000000000001" customHeight="1" x14ac:dyDescent="0.25">
      <c r="A154" s="41" t="s">
        <v>204</v>
      </c>
      <c r="B154" s="37"/>
      <c r="C154" s="38"/>
      <c r="D154" s="21">
        <v>2021</v>
      </c>
      <c r="E154" s="10"/>
      <c r="F154" s="44">
        <f>F132</f>
        <v>13865042.320000002</v>
      </c>
      <c r="G154" s="44">
        <v>3476243.24</v>
      </c>
      <c r="H154" s="44"/>
      <c r="I154" s="22"/>
    </row>
    <row r="155" spans="1:10" ht="19.899999999999999" customHeight="1" x14ac:dyDescent="0.25">
      <c r="A155" s="41" t="s">
        <v>205</v>
      </c>
      <c r="B155" s="37"/>
      <c r="C155" s="38"/>
      <c r="D155" s="21">
        <v>2022</v>
      </c>
      <c r="E155" s="10"/>
      <c r="F155" s="44"/>
      <c r="G155" s="44">
        <f>G132-G154-G156</f>
        <v>15727361.449999997</v>
      </c>
      <c r="H155" s="44"/>
      <c r="I155" s="22"/>
    </row>
    <row r="156" spans="1:10" ht="18" customHeight="1" x14ac:dyDescent="0.25">
      <c r="A156" s="41" t="s">
        <v>206</v>
      </c>
      <c r="B156" s="37"/>
      <c r="C156" s="38"/>
      <c r="D156" s="21">
        <v>2023</v>
      </c>
      <c r="E156" s="10"/>
      <c r="F156" s="44"/>
      <c r="G156" s="44"/>
      <c r="H156" s="44">
        <f>H132-H155-H154</f>
        <v>18904984.009999998</v>
      </c>
      <c r="I156" s="22"/>
    </row>
    <row r="157" spans="1:10" ht="16.899999999999999" customHeight="1" x14ac:dyDescent="0.25">
      <c r="A157" s="41"/>
      <c r="B157" s="37"/>
      <c r="C157" s="38"/>
      <c r="D157" s="21"/>
      <c r="E157" s="10" t="s">
        <v>25</v>
      </c>
      <c r="F157" s="22"/>
      <c r="G157" s="22"/>
      <c r="H157" s="22"/>
      <c r="I157" s="22"/>
    </row>
    <row r="158" spans="1:10" ht="39" x14ac:dyDescent="0.25">
      <c r="A158" s="41" t="s">
        <v>164</v>
      </c>
      <c r="B158" s="37" t="s">
        <v>165</v>
      </c>
      <c r="C158" s="38">
        <v>26600</v>
      </c>
      <c r="D158" s="21" t="s">
        <v>25</v>
      </c>
      <c r="E158" s="10" t="s">
        <v>25</v>
      </c>
      <c r="F158" s="44">
        <f>F159+F160</f>
        <v>0</v>
      </c>
      <c r="G158" s="44">
        <f>G159+G160</f>
        <v>0</v>
      </c>
      <c r="H158" s="44">
        <f>H159+H160</f>
        <v>0</v>
      </c>
      <c r="I158" s="22">
        <f>I159+I160</f>
        <v>0</v>
      </c>
    </row>
    <row r="159" spans="1:10" x14ac:dyDescent="0.25">
      <c r="A159" s="41"/>
      <c r="B159" s="37" t="s">
        <v>163</v>
      </c>
      <c r="C159" s="38">
        <v>26610</v>
      </c>
      <c r="D159" s="21"/>
      <c r="E159" s="10" t="s">
        <v>25</v>
      </c>
      <c r="F159" s="22"/>
      <c r="G159" s="22"/>
      <c r="H159" s="22"/>
      <c r="I159" s="22"/>
    </row>
    <row r="160" spans="1:10" x14ac:dyDescent="0.25">
      <c r="A160" s="41"/>
      <c r="B160" s="37"/>
      <c r="C160" s="21"/>
      <c r="D160" s="21"/>
      <c r="E160" s="10" t="s">
        <v>25</v>
      </c>
      <c r="F160" s="22"/>
      <c r="G160" s="22"/>
      <c r="H160" s="22"/>
      <c r="I160" s="22"/>
    </row>
    <row r="161" spans="1:10" ht="6.75" customHeight="1" x14ac:dyDescent="0.25">
      <c r="A161" s="33"/>
      <c r="B161" s="32"/>
      <c r="C161" s="34"/>
      <c r="D161" s="34"/>
      <c r="E161" s="34"/>
      <c r="F161" s="34"/>
      <c r="G161" s="34"/>
      <c r="H161" s="34"/>
      <c r="I161" s="32"/>
    </row>
    <row r="162" spans="1:10" x14ac:dyDescent="0.25">
      <c r="A162" s="63"/>
      <c r="B162" s="5"/>
      <c r="C162" s="64"/>
      <c r="D162" s="64"/>
      <c r="E162" s="64"/>
      <c r="F162" s="64"/>
      <c r="G162" s="64"/>
      <c r="H162" s="64"/>
      <c r="I162" s="5"/>
    </row>
    <row r="163" spans="1:10" x14ac:dyDescent="0.25">
      <c r="A163" s="65" t="s">
        <v>227</v>
      </c>
      <c r="D163" s="66"/>
      <c r="E163" s="55"/>
      <c r="F163" s="124" t="s">
        <v>208</v>
      </c>
      <c r="G163" s="124"/>
    </row>
    <row r="164" spans="1:10" x14ac:dyDescent="0.25">
      <c r="B164" s="1"/>
      <c r="C164" s="1"/>
      <c r="D164" s="67" t="s">
        <v>166</v>
      </c>
      <c r="F164" s="125" t="s">
        <v>167</v>
      </c>
      <c r="G164" s="125"/>
    </row>
    <row r="165" spans="1:10" x14ac:dyDescent="0.25">
      <c r="B165" s="1"/>
      <c r="C165" s="1"/>
      <c r="D165" s="1"/>
      <c r="E165" s="1"/>
      <c r="F165" s="1"/>
      <c r="G165" s="68"/>
    </row>
    <row r="166" spans="1:10" x14ac:dyDescent="0.25">
      <c r="A166" s="65"/>
      <c r="D166" s="66"/>
      <c r="E166" s="55"/>
      <c r="F166" s="124" t="s">
        <v>168</v>
      </c>
      <c r="G166" s="124"/>
    </row>
    <row r="167" spans="1:10" ht="13.5" customHeight="1" x14ac:dyDescent="0.25">
      <c r="A167" s="1" t="s">
        <v>169</v>
      </c>
      <c r="B167" s="1"/>
      <c r="C167" s="1"/>
      <c r="D167" s="67" t="s">
        <v>166</v>
      </c>
      <c r="F167" s="125" t="s">
        <v>167</v>
      </c>
      <c r="G167" s="125"/>
    </row>
    <row r="168" spans="1:10" hidden="1" x14ac:dyDescent="0.25">
      <c r="A168" s="65"/>
    </row>
    <row r="169" spans="1:10" ht="1.5" hidden="1" customHeight="1" x14ac:dyDescent="0.3">
      <c r="A169" s="65"/>
      <c r="H169" s="69"/>
      <c r="I169" s="69"/>
      <c r="J169"/>
    </row>
    <row r="170" spans="1:10" ht="17.25" customHeight="1" x14ac:dyDescent="0.3">
      <c r="A170" s="70"/>
      <c r="B170" s="69"/>
      <c r="C170" s="69"/>
      <c r="H170" s="69"/>
      <c r="I170" s="69"/>
      <c r="J170"/>
    </row>
    <row r="171" spans="1:10" ht="18.75" hidden="1" x14ac:dyDescent="0.3">
      <c r="A171" s="70"/>
      <c r="B171" s="69"/>
      <c r="C171" s="69"/>
      <c r="D171" s="69"/>
      <c r="E171" s="69"/>
      <c r="F171" s="71"/>
      <c r="H171" s="69"/>
      <c r="I171" s="69"/>
      <c r="J171"/>
    </row>
    <row r="172" spans="1:10" ht="45.75" customHeight="1" x14ac:dyDescent="0.3">
      <c r="A172" s="72" t="s">
        <v>232</v>
      </c>
      <c r="B172" s="72"/>
      <c r="C172" s="72"/>
      <c r="D172" s="72"/>
      <c r="E172" s="69"/>
      <c r="F172" s="71"/>
      <c r="H172" s="69"/>
      <c r="I172" s="69"/>
      <c r="J172"/>
    </row>
    <row r="173" spans="1:10" ht="15.75" customHeight="1" x14ac:dyDescent="0.3">
      <c r="A173" s="106" t="s">
        <v>170</v>
      </c>
      <c r="B173" s="106"/>
      <c r="C173" s="106"/>
      <c r="D173" s="106"/>
      <c r="E173" s="73"/>
      <c r="H173" s="69"/>
      <c r="I173" s="69"/>
      <c r="J173"/>
    </row>
    <row r="174" spans="1:10" x14ac:dyDescent="0.25">
      <c r="A174" s="106"/>
      <c r="B174" s="106"/>
      <c r="C174" s="106"/>
      <c r="D174" s="106"/>
      <c r="E174" s="106"/>
      <c r="H174" s="5"/>
      <c r="I174" s="5"/>
    </row>
    <row r="175" spans="1:10" x14ac:dyDescent="0.25">
      <c r="C175" s="5"/>
      <c r="D175" s="5"/>
      <c r="E175" s="5"/>
      <c r="H175" s="5"/>
      <c r="I175" s="5"/>
    </row>
    <row r="176" spans="1:10" x14ac:dyDescent="0.25">
      <c r="A176" s="2"/>
      <c r="H176" s="5"/>
      <c r="I176" s="5"/>
    </row>
    <row r="177" spans="3:9" x14ac:dyDescent="0.25"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C187" s="5"/>
      <c r="D187" s="5"/>
      <c r="E187" s="5"/>
      <c r="F187" s="5"/>
      <c r="G187" s="5"/>
      <c r="H187" s="5"/>
      <c r="I187" s="5"/>
    </row>
    <row r="188" spans="3:9" x14ac:dyDescent="0.25">
      <c r="C188" s="5"/>
      <c r="D188" s="5"/>
      <c r="E188" s="5"/>
      <c r="F188" s="5"/>
      <c r="G188" s="5"/>
      <c r="H188" s="5"/>
      <c r="I188" s="5"/>
    </row>
    <row r="189" spans="3:9" x14ac:dyDescent="0.25">
      <c r="E189" s="5"/>
    </row>
  </sheetData>
  <mergeCells count="120">
    <mergeCell ref="I122:I123"/>
    <mergeCell ref="F163:G163"/>
    <mergeCell ref="F164:G164"/>
    <mergeCell ref="F166:G166"/>
    <mergeCell ref="F167:G167"/>
    <mergeCell ref="A115:B115"/>
    <mergeCell ref="A116:B116"/>
    <mergeCell ref="A117:B117"/>
    <mergeCell ref="A119:H119"/>
    <mergeCell ref="A121:A123"/>
    <mergeCell ref="B121:B123"/>
    <mergeCell ref="C121:C123"/>
    <mergeCell ref="D121:D123"/>
    <mergeCell ref="E121:E123"/>
    <mergeCell ref="F121:I121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H1:I1"/>
    <mergeCell ref="F2:I2"/>
    <mergeCell ref="F3:I4"/>
    <mergeCell ref="A9:I9"/>
    <mergeCell ref="A10:I10"/>
    <mergeCell ref="B13:H13"/>
    <mergeCell ref="A25:B25"/>
    <mergeCell ref="A26:B26"/>
    <mergeCell ref="A27:B2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9"/>
  <sheetViews>
    <sheetView topLeftCell="A106" zoomScale="85" zoomScaleNormal="85" zoomScaleSheetLayoutView="70" workbookViewId="0">
      <selection activeCell="G154" sqref="G154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 t="s">
        <v>257</v>
      </c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258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260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254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28.9" customHeight="1" x14ac:dyDescent="0.25">
      <c r="A10" s="127" t="s">
        <v>219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255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256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17</v>
      </c>
      <c r="G23" s="11" t="s">
        <v>18</v>
      </c>
      <c r="H23" s="11" t="s">
        <v>218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03">
        <v>2</v>
      </c>
      <c r="D25" s="103">
        <v>3</v>
      </c>
      <c r="E25" s="103">
        <v>4</v>
      </c>
      <c r="F25" s="11">
        <v>5</v>
      </c>
      <c r="G25" s="11">
        <v>6</v>
      </c>
      <c r="H25" s="11">
        <v>7</v>
      </c>
      <c r="I25" s="103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378548.25+72228.32+21310+112204.45</f>
        <v>584291.02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F26+F28-F63+F112-F116</f>
        <v>7.7416189014911652E-9</v>
      </c>
      <c r="G27" s="43">
        <f>G26+G28-G63-G116</f>
        <v>-7.4505805969238281E-9</v>
      </c>
      <c r="H27" s="43">
        <f>H26+H28-H63-H116</f>
        <v>-7.4505805969238281E-9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F29+F30+F34+F35+F58+F60+F61</f>
        <v>56534689.530000009</v>
      </c>
      <c r="G28" s="42">
        <f>G29+G30+G34+G35+G58+G60+G61</f>
        <v>58498779.229999989</v>
      </c>
      <c r="H28" s="42">
        <f>H29+H30+H34+H35+H58+H60+H61</f>
        <v>58200158.54999999</v>
      </c>
      <c r="I28" s="42">
        <f>I29+I30+I34+I35+I58+I60+I61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12000</v>
      </c>
      <c r="G29" s="13">
        <f>8333.2+2332.28</f>
        <v>10665.480000000001</v>
      </c>
      <c r="H29" s="13">
        <f>8333.2+2332.28</f>
        <v>10665.480000000001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F31+F33+F59</f>
        <v>42715345.680000007</v>
      </c>
      <c r="G30" s="42">
        <f>G31+G33+G59+G60</f>
        <v>42257280.909999996</v>
      </c>
      <c r="H30" s="42">
        <f>H31+H33+H59+H60</f>
        <v>42234767.389999993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42317314.590000004</v>
      </c>
      <c r="G31" s="52">
        <f>42353595.91-106100-170215</f>
        <v>42077280.909999996</v>
      </c>
      <c r="H31" s="52">
        <f>42353595.91-128613.52-170215</f>
        <v>42054767.389999993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398031.09</v>
      </c>
      <c r="G33" s="13">
        <v>180000</v>
      </c>
      <c r="H33" s="13">
        <v>180000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F36+F56+F57</f>
        <v>13807343.850000001</v>
      </c>
      <c r="G35" s="42">
        <f>G36</f>
        <v>16230832.84</v>
      </c>
      <c r="H35" s="42">
        <f>H36</f>
        <v>15954725.679999998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SUM(F38:F55)</f>
        <v>13780152.600000001</v>
      </c>
      <c r="G36" s="43">
        <f>SUM(G38:G58)</f>
        <v>16230832.84</v>
      </c>
      <c r="H36" s="43">
        <f>SUM(H38:H55)</f>
        <v>15954725.679999998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150000+100134+200000</f>
        <v>450134</v>
      </c>
      <c r="G38" s="20"/>
      <c r="H38" s="20"/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52050-52050</f>
        <v>0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50" t="s">
        <v>248</v>
      </c>
      <c r="B40" s="151"/>
      <c r="C40" s="19"/>
      <c r="D40" s="12"/>
      <c r="E40" s="11"/>
      <c r="F40" s="98">
        <f>148173.29+41285.7</f>
        <v>189458.99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f>1498868.94-311954.3</f>
        <v>1186914.6399999999</v>
      </c>
      <c r="G41" s="20">
        <v>1500000</v>
      </c>
      <c r="H41" s="20">
        <v>1500000</v>
      </c>
      <c r="I41" s="13"/>
    </row>
    <row r="42" spans="1:9" s="46" customFormat="1" ht="54.75" customHeight="1" x14ac:dyDescent="0.2">
      <c r="A42" s="149" t="s">
        <v>250</v>
      </c>
      <c r="B42" s="149"/>
      <c r="C42" s="12"/>
      <c r="D42" s="12"/>
      <c r="E42" s="11"/>
      <c r="F42" s="99">
        <v>296735.08</v>
      </c>
      <c r="G42" s="84"/>
      <c r="H42" s="84"/>
      <c r="I42" s="13"/>
    </row>
    <row r="43" spans="1:9" s="46" customFormat="1" ht="33" customHeight="1" x14ac:dyDescent="0.2">
      <c r="A43" s="150" t="s">
        <v>237</v>
      </c>
      <c r="B43" s="151"/>
      <c r="C43" s="12"/>
      <c r="D43" s="12"/>
      <c r="E43" s="11"/>
      <c r="F43" s="99">
        <v>20500</v>
      </c>
      <c r="G43" s="84"/>
      <c r="H43" s="84"/>
      <c r="I43" s="13"/>
    </row>
    <row r="44" spans="1:9" s="46" customFormat="1" ht="54.75" customHeight="1" x14ac:dyDescent="0.2">
      <c r="A44" s="150" t="s">
        <v>238</v>
      </c>
      <c r="B44" s="151"/>
      <c r="C44" s="12"/>
      <c r="D44" s="12"/>
      <c r="E44" s="11"/>
      <c r="F44" s="99">
        <v>170000</v>
      </c>
      <c r="G44" s="84"/>
      <c r="H44" s="84"/>
      <c r="I44" s="13"/>
    </row>
    <row r="45" spans="1:9" s="46" customFormat="1" ht="29.45" customHeight="1" x14ac:dyDescent="0.2">
      <c r="A45" s="149" t="s">
        <v>175</v>
      </c>
      <c r="B45" s="149"/>
      <c r="C45" s="12"/>
      <c r="D45" s="12"/>
      <c r="E45" s="11"/>
      <c r="F45" s="99">
        <v>70350</v>
      </c>
      <c r="G45" s="84">
        <v>45350</v>
      </c>
      <c r="H45" s="84">
        <v>45350</v>
      </c>
      <c r="I45" s="13"/>
    </row>
    <row r="46" spans="1:9" s="46" customFormat="1" ht="43.15" customHeight="1" x14ac:dyDescent="0.2">
      <c r="A46" s="149" t="s">
        <v>176</v>
      </c>
      <c r="B46" s="149"/>
      <c r="C46" s="12"/>
      <c r="D46" s="12"/>
      <c r="E46" s="11"/>
      <c r="F46" s="99">
        <v>0</v>
      </c>
      <c r="G46" s="84">
        <v>25100</v>
      </c>
      <c r="H46" s="84">
        <v>22330.32</v>
      </c>
      <c r="I46" s="13"/>
    </row>
    <row r="47" spans="1:9" s="46" customFormat="1" ht="84" customHeight="1" x14ac:dyDescent="0.2">
      <c r="A47" s="147" t="s">
        <v>177</v>
      </c>
      <c r="B47" s="148"/>
      <c r="C47" s="12"/>
      <c r="D47" s="12"/>
      <c r="E47" s="11"/>
      <c r="F47" s="99">
        <v>0</v>
      </c>
      <c r="G47" s="84">
        <v>11600</v>
      </c>
      <c r="H47" s="84">
        <v>8036</v>
      </c>
      <c r="I47" s="13"/>
    </row>
    <row r="48" spans="1:9" s="46" customFormat="1" ht="58.5" customHeight="1" x14ac:dyDescent="0.2">
      <c r="A48" s="147" t="s">
        <v>244</v>
      </c>
      <c r="B48" s="148"/>
      <c r="C48" s="12"/>
      <c r="D48" s="12"/>
      <c r="E48" s="11"/>
      <c r="F48" s="99">
        <f>124690-15444.9</f>
        <v>109245.1</v>
      </c>
      <c r="G48" s="84"/>
      <c r="H48" s="84"/>
      <c r="I48" s="13"/>
    </row>
    <row r="49" spans="1:10" s="46" customFormat="1" ht="60.75" customHeight="1" x14ac:dyDescent="0.2">
      <c r="A49" s="149" t="s">
        <v>178</v>
      </c>
      <c r="B49" s="149"/>
      <c r="C49" s="12"/>
      <c r="D49" s="12"/>
      <c r="E49" s="11"/>
      <c r="F49" s="99">
        <v>236850</v>
      </c>
      <c r="G49" s="84">
        <v>236850</v>
      </c>
      <c r="H49" s="84">
        <v>236850</v>
      </c>
      <c r="I49" s="13"/>
    </row>
    <row r="50" spans="1:10" s="46" customFormat="1" ht="45" customHeight="1" x14ac:dyDescent="0.2">
      <c r="A50" s="149" t="s">
        <v>192</v>
      </c>
      <c r="B50" s="149"/>
      <c r="C50" s="12"/>
      <c r="D50" s="47"/>
      <c r="E50" s="11"/>
      <c r="F50" s="99">
        <f>1313664.72-197109.92</f>
        <v>1116554.8</v>
      </c>
      <c r="G50" s="84">
        <v>1957200</v>
      </c>
      <c r="H50" s="84">
        <v>1957200</v>
      </c>
      <c r="I50" s="13"/>
    </row>
    <row r="51" spans="1:10" s="46" customFormat="1" ht="45" customHeight="1" x14ac:dyDescent="0.2">
      <c r="A51" s="150" t="s">
        <v>231</v>
      </c>
      <c r="B51" s="151"/>
      <c r="C51" s="12"/>
      <c r="D51" s="47"/>
      <c r="E51" s="11"/>
      <c r="F51" s="99">
        <f>44100+25000+8000+208800</f>
        <v>285900</v>
      </c>
      <c r="G51" s="84"/>
      <c r="H51" s="84"/>
      <c r="I51" s="13"/>
    </row>
    <row r="52" spans="1:10" s="46" customFormat="1" ht="55.9" customHeight="1" x14ac:dyDescent="0.2">
      <c r="A52" s="152" t="s">
        <v>201</v>
      </c>
      <c r="B52" s="153"/>
      <c r="C52" s="79"/>
      <c r="D52" s="80"/>
      <c r="E52" s="81"/>
      <c r="F52" s="100">
        <v>4520564.6500000004</v>
      </c>
      <c r="G52" s="84">
        <v>6686413.75</v>
      </c>
      <c r="H52" s="84">
        <v>6482395.7000000002</v>
      </c>
      <c r="I52" s="13"/>
      <c r="J52" s="97"/>
    </row>
    <row r="53" spans="1:10" s="46" customFormat="1" ht="54.6" customHeight="1" x14ac:dyDescent="0.2">
      <c r="A53" s="152" t="s">
        <v>202</v>
      </c>
      <c r="B53" s="153"/>
      <c r="C53" s="79"/>
      <c r="D53" s="80"/>
      <c r="E53" s="81"/>
      <c r="F53" s="100">
        <v>1427543.13</v>
      </c>
      <c r="G53" s="84">
        <v>1860220</v>
      </c>
      <c r="H53" s="84">
        <v>1802579.38</v>
      </c>
      <c r="I53" s="13"/>
    </row>
    <row r="54" spans="1:10" s="46" customFormat="1" ht="55.9" customHeight="1" x14ac:dyDescent="0.2">
      <c r="A54" s="152" t="s">
        <v>203</v>
      </c>
      <c r="B54" s="153"/>
      <c r="C54" s="79"/>
      <c r="D54" s="80"/>
      <c r="E54" s="81"/>
      <c r="F54" s="100">
        <v>183962.21</v>
      </c>
      <c r="G54" s="84">
        <v>264539.09000000003</v>
      </c>
      <c r="H54" s="84">
        <v>256424.28</v>
      </c>
      <c r="I54" s="13"/>
      <c r="J54" s="97"/>
    </row>
    <row r="55" spans="1:10" s="46" customFormat="1" ht="82.9" customHeight="1" x14ac:dyDescent="0.2">
      <c r="A55" s="154" t="s">
        <v>223</v>
      </c>
      <c r="B55" s="155"/>
      <c r="C55" s="79"/>
      <c r="D55" s="80"/>
      <c r="E55" s="81"/>
      <c r="F55" s="100">
        <f>3593560-78120</f>
        <v>3515440</v>
      </c>
      <c r="G55" s="84">
        <v>3593560</v>
      </c>
      <c r="H55" s="84">
        <v>3593560</v>
      </c>
      <c r="I55" s="13"/>
    </row>
    <row r="56" spans="1:10" s="46" customFormat="1" ht="15" customHeight="1" x14ac:dyDescent="0.2">
      <c r="A56" s="149" t="s">
        <v>180</v>
      </c>
      <c r="B56" s="149"/>
      <c r="C56" s="12" t="s">
        <v>51</v>
      </c>
      <c r="D56" s="12" t="s">
        <v>47</v>
      </c>
      <c r="E56" s="11"/>
      <c r="F56" s="13"/>
      <c r="G56" s="13"/>
      <c r="H56" s="13"/>
      <c r="I56" s="13"/>
    </row>
    <row r="57" spans="1:10" s="46" customFormat="1" ht="26.25" customHeight="1" x14ac:dyDescent="0.2">
      <c r="A57" s="147" t="s">
        <v>179</v>
      </c>
      <c r="B57" s="148"/>
      <c r="C57" s="12" t="s">
        <v>52</v>
      </c>
      <c r="D57" s="12" t="s">
        <v>47</v>
      </c>
      <c r="E57" s="11"/>
      <c r="F57" s="13">
        <v>27191.25</v>
      </c>
      <c r="G57" s="13"/>
      <c r="H57" s="13"/>
      <c r="I57" s="13"/>
    </row>
    <row r="58" spans="1:10" s="46" customFormat="1" ht="15" customHeight="1" x14ac:dyDescent="0.2">
      <c r="A58" s="149" t="s">
        <v>53</v>
      </c>
      <c r="B58" s="149"/>
      <c r="C58" s="12" t="s">
        <v>54</v>
      </c>
      <c r="D58" s="12" t="s">
        <v>55</v>
      </c>
      <c r="E58" s="11"/>
      <c r="F58" s="13"/>
      <c r="G58" s="13"/>
      <c r="H58" s="13"/>
      <c r="I58" s="13"/>
    </row>
    <row r="59" spans="1:10" s="4" customFormat="1" ht="15" customHeight="1" x14ac:dyDescent="0.2">
      <c r="A59" s="149" t="s">
        <v>56</v>
      </c>
      <c r="B59" s="149"/>
      <c r="C59" s="12" t="s">
        <v>57</v>
      </c>
      <c r="D59" s="12" t="s">
        <v>55</v>
      </c>
      <c r="E59" s="11"/>
      <c r="F59" s="13"/>
      <c r="G59" s="13"/>
      <c r="H59" s="13"/>
      <c r="I59" s="13"/>
    </row>
    <row r="60" spans="1:10" s="4" customFormat="1" ht="15" customHeight="1" x14ac:dyDescent="0.2">
      <c r="A60" s="149" t="s">
        <v>58</v>
      </c>
      <c r="B60" s="149"/>
      <c r="C60" s="12" t="s">
        <v>59</v>
      </c>
      <c r="D60" s="12" t="s">
        <v>60</v>
      </c>
      <c r="E60" s="11"/>
      <c r="F60" s="13"/>
      <c r="G60" s="13"/>
      <c r="H60" s="13"/>
      <c r="I60" s="13"/>
    </row>
    <row r="61" spans="1:10" s="4" customFormat="1" ht="15" customHeight="1" x14ac:dyDescent="0.2">
      <c r="A61" s="149" t="s">
        <v>61</v>
      </c>
      <c r="B61" s="149"/>
      <c r="C61" s="12" t="s">
        <v>62</v>
      </c>
      <c r="D61" s="12" t="s">
        <v>25</v>
      </c>
      <c r="E61" s="11"/>
      <c r="F61" s="13"/>
      <c r="G61" s="13"/>
      <c r="H61" s="13"/>
      <c r="I61" s="13"/>
    </row>
    <row r="62" spans="1:10" s="4" customFormat="1" ht="38.450000000000003" customHeight="1" x14ac:dyDescent="0.2">
      <c r="A62" s="149" t="s">
        <v>63</v>
      </c>
      <c r="B62" s="149"/>
      <c r="C62" s="12" t="s">
        <v>64</v>
      </c>
      <c r="D62" s="12" t="s">
        <v>65</v>
      </c>
      <c r="E62" s="11"/>
      <c r="F62" s="13"/>
      <c r="G62" s="13"/>
      <c r="H62" s="13"/>
      <c r="I62" s="13" t="s">
        <v>25</v>
      </c>
    </row>
    <row r="63" spans="1:10" s="4" customFormat="1" ht="15" customHeight="1" x14ac:dyDescent="0.2">
      <c r="A63" s="146" t="s">
        <v>66</v>
      </c>
      <c r="B63" s="146"/>
      <c r="C63" s="15" t="s">
        <v>67</v>
      </c>
      <c r="D63" s="15" t="s">
        <v>25</v>
      </c>
      <c r="E63" s="16">
        <v>200</v>
      </c>
      <c r="F63" s="42">
        <f>F64+F74+F81+F85+F92+F94</f>
        <v>56646893.980000004</v>
      </c>
      <c r="G63" s="42">
        <f>G64+G74+G81+G85+G92+G94</f>
        <v>58498779.229999997</v>
      </c>
      <c r="H63" s="42">
        <f>H64+H74+H81+H85+H92+H94</f>
        <v>58200158.549999997</v>
      </c>
      <c r="I63" s="17"/>
    </row>
    <row r="64" spans="1:10" s="4" customFormat="1" ht="27" customHeight="1" x14ac:dyDescent="0.2">
      <c r="A64" s="126" t="s">
        <v>68</v>
      </c>
      <c r="B64" s="126"/>
      <c r="C64" s="21">
        <v>2100</v>
      </c>
      <c r="D64" s="15" t="s">
        <v>25</v>
      </c>
      <c r="E64" s="21"/>
      <c r="F64" s="44">
        <f>F65+F66+F67+F68+F69+F70+F72</f>
        <v>38701166.829999998</v>
      </c>
      <c r="G64" s="44">
        <f>G65+G66+G67+G68+G69+G70+G72</f>
        <v>39194949.539999999</v>
      </c>
      <c r="H64" s="44">
        <f>H65+H66+H67+H68+H69+H70+H72</f>
        <v>39194949.539999999</v>
      </c>
      <c r="I64" s="22" t="s">
        <v>25</v>
      </c>
    </row>
    <row r="65" spans="1:11" s="4" customFormat="1" ht="25.5" customHeight="1" x14ac:dyDescent="0.2">
      <c r="A65" s="126" t="s">
        <v>69</v>
      </c>
      <c r="B65" s="126"/>
      <c r="C65" s="21">
        <v>2110</v>
      </c>
      <c r="D65" s="21">
        <v>111</v>
      </c>
      <c r="E65" s="21"/>
      <c r="F65" s="22">
        <v>29721710.34</v>
      </c>
      <c r="G65" s="22">
        <f>82949.31+27221908.24+90000+76804.92+2760030.72-130733.49</f>
        <v>30100959.699999999</v>
      </c>
      <c r="H65" s="22">
        <f>82949.31+27221908.24+90000+76804.92+2760030.72-130733.49</f>
        <v>30100959.699999999</v>
      </c>
      <c r="I65" s="22" t="s">
        <v>25</v>
      </c>
      <c r="K65" s="90"/>
    </row>
    <row r="66" spans="1:11" s="4" customFormat="1" ht="15" customHeight="1" x14ac:dyDescent="0.2">
      <c r="A66" s="126" t="s">
        <v>70</v>
      </c>
      <c r="B66" s="126"/>
      <c r="C66" s="21">
        <v>2120</v>
      </c>
      <c r="D66" s="21">
        <v>112</v>
      </c>
      <c r="E66" s="21"/>
      <c r="F66" s="22">
        <v>3500</v>
      </c>
      <c r="G66" s="22">
        <v>3500</v>
      </c>
      <c r="H66" s="22">
        <v>3500</v>
      </c>
      <c r="I66" s="22" t="s">
        <v>25</v>
      </c>
      <c r="K66" s="90"/>
    </row>
    <row r="67" spans="1:11" s="4" customFormat="1" ht="28.5" customHeight="1" x14ac:dyDescent="0.2">
      <c r="A67" s="126" t="s">
        <v>71</v>
      </c>
      <c r="B67" s="126"/>
      <c r="C67" s="21">
        <v>2130</v>
      </c>
      <c r="D67" s="21">
        <v>113</v>
      </c>
      <c r="E67" s="21"/>
      <c r="F67" s="22"/>
      <c r="G67" s="22"/>
      <c r="H67" s="22"/>
      <c r="I67" s="22" t="s">
        <v>25</v>
      </c>
      <c r="K67" s="90"/>
    </row>
    <row r="68" spans="1:11" s="4" customFormat="1" ht="28.9" customHeight="1" x14ac:dyDescent="0.2">
      <c r="A68" s="126" t="s">
        <v>72</v>
      </c>
      <c r="B68" s="126"/>
      <c r="C68" s="21">
        <v>2140</v>
      </c>
      <c r="D68" s="21">
        <v>119</v>
      </c>
      <c r="E68" s="21"/>
      <c r="F68" s="22">
        <v>8975956.4900000002</v>
      </c>
      <c r="G68" s="22">
        <f>25050.69+8248196.3+23195.08+833529.28-39481.51</f>
        <v>9090489.8399999999</v>
      </c>
      <c r="H68" s="22">
        <f>25050.69+8248196.3+23195.08+833529.28-39481.51</f>
        <v>9090489.8399999999</v>
      </c>
      <c r="I68" s="22" t="s">
        <v>25</v>
      </c>
    </row>
    <row r="69" spans="1:11" s="4" customFormat="1" ht="16.899999999999999" customHeight="1" x14ac:dyDescent="0.2">
      <c r="A69" s="126" t="s">
        <v>73</v>
      </c>
      <c r="B69" s="126"/>
      <c r="C69" s="21">
        <v>2150</v>
      </c>
      <c r="D69" s="21">
        <v>131</v>
      </c>
      <c r="E69" s="21"/>
      <c r="F69" s="22"/>
      <c r="G69" s="22"/>
      <c r="H69" s="22"/>
      <c r="I69" s="22" t="s">
        <v>25</v>
      </c>
    </row>
    <row r="70" spans="1:11" s="4" customFormat="1" ht="27" customHeight="1" x14ac:dyDescent="0.2">
      <c r="A70" s="126" t="s">
        <v>74</v>
      </c>
      <c r="B70" s="126"/>
      <c r="C70" s="21">
        <v>2160</v>
      </c>
      <c r="D70" s="21">
        <v>133</v>
      </c>
      <c r="E70" s="21"/>
      <c r="F70" s="22"/>
      <c r="G70" s="22"/>
      <c r="H70" s="22"/>
      <c r="I70" s="22" t="s">
        <v>25</v>
      </c>
    </row>
    <row r="71" spans="1:11" s="4" customFormat="1" ht="15.75" customHeight="1" x14ac:dyDescent="0.2">
      <c r="A71" s="126" t="s">
        <v>75</v>
      </c>
      <c r="B71" s="126"/>
      <c r="C71" s="21">
        <v>2170</v>
      </c>
      <c r="D71" s="21">
        <v>134</v>
      </c>
      <c r="E71" s="21"/>
      <c r="F71" s="22"/>
      <c r="G71" s="22"/>
      <c r="H71" s="22"/>
      <c r="I71" s="22"/>
    </row>
    <row r="72" spans="1:11" s="4" customFormat="1" ht="30.75" customHeight="1" x14ac:dyDescent="0.2">
      <c r="A72" s="126" t="s">
        <v>76</v>
      </c>
      <c r="B72" s="126"/>
      <c r="C72" s="21">
        <v>2180</v>
      </c>
      <c r="D72" s="21">
        <v>139</v>
      </c>
      <c r="E72" s="21"/>
      <c r="F72" s="44">
        <f>F73</f>
        <v>0</v>
      </c>
      <c r="G72" s="44">
        <f>G73</f>
        <v>0</v>
      </c>
      <c r="H72" s="44">
        <f>H73</f>
        <v>0</v>
      </c>
      <c r="I72" s="22" t="s">
        <v>25</v>
      </c>
    </row>
    <row r="73" spans="1:11" s="4" customFormat="1" ht="25.5" customHeight="1" x14ac:dyDescent="0.2">
      <c r="A73" s="126" t="s">
        <v>77</v>
      </c>
      <c r="B73" s="126"/>
      <c r="C73" s="21">
        <v>2181</v>
      </c>
      <c r="D73" s="21">
        <v>139</v>
      </c>
      <c r="E73" s="21"/>
      <c r="F73" s="22"/>
      <c r="G73" s="22"/>
      <c r="H73" s="22"/>
      <c r="I73" s="22" t="s">
        <v>25</v>
      </c>
    </row>
    <row r="74" spans="1:11" s="76" customFormat="1" ht="15" customHeight="1" x14ac:dyDescent="0.2">
      <c r="A74" s="141" t="s">
        <v>78</v>
      </c>
      <c r="B74" s="141"/>
      <c r="C74" s="25">
        <v>2200</v>
      </c>
      <c r="D74" s="25">
        <v>300</v>
      </c>
      <c r="E74" s="25"/>
      <c r="F74" s="45">
        <f>F75+F78+F79+F80</f>
        <v>0</v>
      </c>
      <c r="G74" s="45">
        <f>G75+G78+G79+G80</f>
        <v>0</v>
      </c>
      <c r="H74" s="45">
        <f>H75+H78+H79+H80</f>
        <v>0</v>
      </c>
      <c r="I74" s="26" t="s">
        <v>25</v>
      </c>
    </row>
    <row r="75" spans="1:11" s="4" customFormat="1" ht="24.6" customHeight="1" x14ac:dyDescent="0.2">
      <c r="A75" s="126" t="s">
        <v>79</v>
      </c>
      <c r="B75" s="126"/>
      <c r="C75" s="21">
        <v>2210</v>
      </c>
      <c r="D75" s="21">
        <v>320</v>
      </c>
      <c r="E75" s="21"/>
      <c r="F75" s="44">
        <f>SUM(F76:F77)</f>
        <v>0</v>
      </c>
      <c r="G75" s="44">
        <f>SUM(G76:G76)</f>
        <v>0</v>
      </c>
      <c r="H75" s="44">
        <f>SUM(H76:H76)</f>
        <v>0</v>
      </c>
      <c r="I75" s="22" t="s">
        <v>25</v>
      </c>
    </row>
    <row r="76" spans="1:11" s="4" customFormat="1" ht="36.6" customHeight="1" x14ac:dyDescent="0.2">
      <c r="A76" s="126" t="s">
        <v>80</v>
      </c>
      <c r="B76" s="126"/>
      <c r="C76" s="21">
        <v>2211</v>
      </c>
      <c r="D76" s="21">
        <v>321</v>
      </c>
      <c r="E76" s="21"/>
      <c r="F76" s="22"/>
      <c r="G76" s="22"/>
      <c r="H76" s="22"/>
      <c r="I76" s="22" t="s">
        <v>25</v>
      </c>
    </row>
    <row r="77" spans="1:11" s="4" customFormat="1" ht="15.6" customHeight="1" x14ac:dyDescent="0.2">
      <c r="A77" s="139" t="s">
        <v>181</v>
      </c>
      <c r="B77" s="140"/>
      <c r="C77" s="21">
        <v>2212</v>
      </c>
      <c r="D77" s="21">
        <v>321</v>
      </c>
      <c r="E77" s="21"/>
      <c r="F77" s="22"/>
      <c r="G77" s="22"/>
      <c r="H77" s="22"/>
      <c r="I77" s="22" t="s">
        <v>25</v>
      </c>
    </row>
    <row r="78" spans="1:11" s="4" customFormat="1" ht="25.9" customHeight="1" x14ac:dyDescent="0.2">
      <c r="A78" s="126" t="s">
        <v>81</v>
      </c>
      <c r="B78" s="126"/>
      <c r="C78" s="21">
        <v>2220</v>
      </c>
      <c r="D78" s="21">
        <v>340</v>
      </c>
      <c r="E78" s="21"/>
      <c r="F78" s="22"/>
      <c r="G78" s="22"/>
      <c r="H78" s="22"/>
      <c r="I78" s="22" t="s">
        <v>25</v>
      </c>
    </row>
    <row r="79" spans="1:11" s="4" customFormat="1" ht="39" customHeight="1" x14ac:dyDescent="0.2">
      <c r="A79" s="126" t="s">
        <v>82</v>
      </c>
      <c r="B79" s="126"/>
      <c r="C79" s="21">
        <v>2230</v>
      </c>
      <c r="D79" s="21">
        <v>350</v>
      </c>
      <c r="E79" s="21"/>
      <c r="F79" s="22"/>
      <c r="G79" s="22"/>
      <c r="H79" s="22"/>
      <c r="I79" s="22" t="s">
        <v>25</v>
      </c>
    </row>
    <row r="80" spans="1:11" s="4" customFormat="1" ht="16.149999999999999" customHeight="1" x14ac:dyDescent="0.2">
      <c r="A80" s="126" t="s">
        <v>83</v>
      </c>
      <c r="B80" s="126"/>
      <c r="C80" s="21">
        <v>2240</v>
      </c>
      <c r="D80" s="21">
        <v>360</v>
      </c>
      <c r="E80" s="21"/>
      <c r="F80" s="22"/>
      <c r="G80" s="22"/>
      <c r="H80" s="22"/>
      <c r="I80" s="22" t="s">
        <v>25</v>
      </c>
    </row>
    <row r="81" spans="1:9" s="76" customFormat="1" ht="15" customHeight="1" x14ac:dyDescent="0.2">
      <c r="A81" s="141" t="s">
        <v>84</v>
      </c>
      <c r="B81" s="141"/>
      <c r="C81" s="25">
        <v>2300</v>
      </c>
      <c r="D81" s="25">
        <v>850</v>
      </c>
      <c r="E81" s="25"/>
      <c r="F81" s="45">
        <f>SUM(F82:F84)</f>
        <v>102450.28</v>
      </c>
      <c r="G81" s="45">
        <f>SUM(G82:G84)</f>
        <v>100225</v>
      </c>
      <c r="H81" s="45">
        <f>SUM(H82:H84)</f>
        <v>100225</v>
      </c>
      <c r="I81" s="26" t="s">
        <v>25</v>
      </c>
    </row>
    <row r="82" spans="1:9" s="4" customFormat="1" ht="24" customHeight="1" x14ac:dyDescent="0.2">
      <c r="A82" s="126" t="s">
        <v>85</v>
      </c>
      <c r="B82" s="126"/>
      <c r="C82" s="21">
        <v>2310</v>
      </c>
      <c r="D82" s="21">
        <v>851</v>
      </c>
      <c r="E82" s="21"/>
      <c r="F82" s="22">
        <v>84648.34</v>
      </c>
      <c r="G82" s="22">
        <v>87400</v>
      </c>
      <c r="H82" s="22">
        <v>87400</v>
      </c>
      <c r="I82" s="22" t="s">
        <v>25</v>
      </c>
    </row>
    <row r="83" spans="1:9" s="4" customFormat="1" ht="30" customHeight="1" x14ac:dyDescent="0.2">
      <c r="A83" s="126" t="s">
        <v>86</v>
      </c>
      <c r="B83" s="126"/>
      <c r="C83" s="21">
        <v>2320</v>
      </c>
      <c r="D83" s="21">
        <v>852</v>
      </c>
      <c r="E83" s="21"/>
      <c r="F83" s="22">
        <v>0</v>
      </c>
      <c r="G83" s="22"/>
      <c r="H83" s="22"/>
      <c r="I83" s="22" t="s">
        <v>25</v>
      </c>
    </row>
    <row r="84" spans="1:9" s="4" customFormat="1" ht="13.5" customHeight="1" x14ac:dyDescent="0.2">
      <c r="A84" s="126" t="s">
        <v>87</v>
      </c>
      <c r="B84" s="126"/>
      <c r="C84" s="21">
        <v>2330</v>
      </c>
      <c r="D84" s="21">
        <v>853</v>
      </c>
      <c r="E84" s="21"/>
      <c r="F84" s="22">
        <v>17801.939999999999</v>
      </c>
      <c r="G84" s="22">
        <v>12825</v>
      </c>
      <c r="H84" s="22">
        <v>12825</v>
      </c>
      <c r="I84" s="22" t="s">
        <v>25</v>
      </c>
    </row>
    <row r="85" spans="1:9" s="4" customFormat="1" ht="13.5" customHeight="1" x14ac:dyDescent="0.2">
      <c r="A85" s="126" t="s">
        <v>88</v>
      </c>
      <c r="B85" s="126"/>
      <c r="C85" s="21">
        <v>2400</v>
      </c>
      <c r="D85" s="21" t="s">
        <v>25</v>
      </c>
      <c r="E85" s="21"/>
      <c r="F85" s="44">
        <f>SUM(F86:F88)</f>
        <v>0</v>
      </c>
      <c r="G85" s="44">
        <f>SUM(G86:G88)</f>
        <v>0</v>
      </c>
      <c r="H85" s="44">
        <f>SUM(H86:H88)</f>
        <v>0</v>
      </c>
      <c r="I85" s="22" t="s">
        <v>25</v>
      </c>
    </row>
    <row r="86" spans="1:9" s="4" customFormat="1" ht="21.6" customHeight="1" x14ac:dyDescent="0.2">
      <c r="A86" s="126" t="s">
        <v>89</v>
      </c>
      <c r="B86" s="126"/>
      <c r="C86" s="21">
        <v>2410</v>
      </c>
      <c r="D86" s="21">
        <v>613</v>
      </c>
      <c r="E86" s="21"/>
      <c r="F86" s="22"/>
      <c r="G86" s="22"/>
      <c r="H86" s="22"/>
      <c r="I86" s="22" t="s">
        <v>25</v>
      </c>
    </row>
    <row r="87" spans="1:9" s="4" customFormat="1" ht="15" customHeight="1" x14ac:dyDescent="0.2">
      <c r="A87" s="126" t="s">
        <v>90</v>
      </c>
      <c r="B87" s="126"/>
      <c r="C87" s="21">
        <v>2420</v>
      </c>
      <c r="D87" s="21">
        <v>623</v>
      </c>
      <c r="E87" s="21"/>
      <c r="F87" s="22"/>
      <c r="G87" s="22"/>
      <c r="H87" s="22"/>
      <c r="I87" s="22" t="s">
        <v>25</v>
      </c>
    </row>
    <row r="88" spans="1:9" s="4" customFormat="1" ht="30" customHeight="1" x14ac:dyDescent="0.2">
      <c r="A88" s="126" t="s">
        <v>91</v>
      </c>
      <c r="B88" s="126"/>
      <c r="C88" s="21">
        <v>2430</v>
      </c>
      <c r="D88" s="21">
        <v>634</v>
      </c>
      <c r="E88" s="21"/>
      <c r="F88" s="22"/>
      <c r="G88" s="22"/>
      <c r="H88" s="22"/>
      <c r="I88" s="22" t="s">
        <v>25</v>
      </c>
    </row>
    <row r="89" spans="1:9" s="4" customFormat="1" ht="16.899999999999999" customHeight="1" x14ac:dyDescent="0.2">
      <c r="A89" s="139" t="s">
        <v>92</v>
      </c>
      <c r="B89" s="140"/>
      <c r="C89" s="21">
        <v>2440</v>
      </c>
      <c r="D89" s="21">
        <v>810</v>
      </c>
      <c r="E89" s="21"/>
      <c r="F89" s="22"/>
      <c r="G89" s="22"/>
      <c r="H89" s="22"/>
      <c r="I89" s="22"/>
    </row>
    <row r="90" spans="1:9" s="4" customFormat="1" ht="16.899999999999999" customHeight="1" x14ac:dyDescent="0.2">
      <c r="A90" s="139" t="s">
        <v>93</v>
      </c>
      <c r="B90" s="140"/>
      <c r="C90" s="21">
        <v>2450</v>
      </c>
      <c r="D90" s="21">
        <v>862</v>
      </c>
      <c r="E90" s="21"/>
      <c r="F90" s="22"/>
      <c r="G90" s="22"/>
      <c r="H90" s="22"/>
      <c r="I90" s="22"/>
    </row>
    <row r="91" spans="1:9" s="4" customFormat="1" ht="30.75" customHeight="1" x14ac:dyDescent="0.2">
      <c r="A91" s="139" t="s">
        <v>94</v>
      </c>
      <c r="B91" s="140"/>
      <c r="C91" s="21">
        <v>2460</v>
      </c>
      <c r="D91" s="21">
        <v>863</v>
      </c>
      <c r="E91" s="21"/>
      <c r="F91" s="22"/>
      <c r="G91" s="22"/>
      <c r="H91" s="22"/>
      <c r="I91" s="22"/>
    </row>
    <row r="92" spans="1:9" s="4" customFormat="1" ht="15" customHeight="1" x14ac:dyDescent="0.2">
      <c r="A92" s="126" t="s">
        <v>95</v>
      </c>
      <c r="B92" s="126"/>
      <c r="C92" s="21">
        <v>2500</v>
      </c>
      <c r="D92" s="21" t="s">
        <v>25</v>
      </c>
      <c r="E92" s="21"/>
      <c r="F92" s="44">
        <f>F93</f>
        <v>0</v>
      </c>
      <c r="G92" s="44">
        <f>G93</f>
        <v>0</v>
      </c>
      <c r="H92" s="44">
        <f>H93</f>
        <v>0</v>
      </c>
      <c r="I92" s="22" t="s">
        <v>25</v>
      </c>
    </row>
    <row r="93" spans="1:9" s="4" customFormat="1" ht="31.5" customHeight="1" x14ac:dyDescent="0.2">
      <c r="A93" s="126" t="s">
        <v>96</v>
      </c>
      <c r="B93" s="126"/>
      <c r="C93" s="21">
        <v>2520</v>
      </c>
      <c r="D93" s="21">
        <v>831</v>
      </c>
      <c r="E93" s="21"/>
      <c r="F93" s="22"/>
      <c r="G93" s="22"/>
      <c r="H93" s="22"/>
      <c r="I93" s="22" t="s">
        <v>25</v>
      </c>
    </row>
    <row r="94" spans="1:9" s="76" customFormat="1" ht="15" customHeight="1" x14ac:dyDescent="0.2">
      <c r="A94" s="141" t="s">
        <v>97</v>
      </c>
      <c r="B94" s="141"/>
      <c r="C94" s="25">
        <v>2600</v>
      </c>
      <c r="D94" s="25" t="s">
        <v>25</v>
      </c>
      <c r="E94" s="25"/>
      <c r="F94" s="45">
        <f>F95+F96+F97+F109+F106</f>
        <v>17843276.870000001</v>
      </c>
      <c r="G94" s="45">
        <f>G95+G96+G97+G109+G106</f>
        <v>19203604.689999998</v>
      </c>
      <c r="H94" s="45">
        <f>H95+H96+H97+H109+H106</f>
        <v>18904984.009999998</v>
      </c>
      <c r="I94" s="26"/>
    </row>
    <row r="95" spans="1:9" s="4" customFormat="1" ht="30" customHeight="1" x14ac:dyDescent="0.2">
      <c r="A95" s="126" t="s">
        <v>98</v>
      </c>
      <c r="B95" s="126"/>
      <c r="C95" s="21">
        <v>2610</v>
      </c>
      <c r="D95" s="21">
        <v>241</v>
      </c>
      <c r="E95" s="21"/>
      <c r="F95" s="22"/>
      <c r="G95" s="22"/>
      <c r="H95" s="22"/>
      <c r="I95" s="22"/>
    </row>
    <row r="96" spans="1:9" s="4" customFormat="1" ht="27.75" customHeight="1" x14ac:dyDescent="0.2">
      <c r="A96" s="126" t="s">
        <v>99</v>
      </c>
      <c r="B96" s="126"/>
      <c r="C96" s="21">
        <v>2630</v>
      </c>
      <c r="D96" s="21">
        <v>243</v>
      </c>
      <c r="E96" s="21"/>
      <c r="F96" s="22"/>
      <c r="G96" s="22"/>
      <c r="H96" s="22"/>
      <c r="I96" s="22"/>
    </row>
    <row r="97" spans="1:9" s="76" customFormat="1" ht="15" customHeight="1" x14ac:dyDescent="0.2">
      <c r="A97" s="141" t="s">
        <v>100</v>
      </c>
      <c r="B97" s="141"/>
      <c r="C97" s="25">
        <v>2640</v>
      </c>
      <c r="D97" s="25">
        <v>244</v>
      </c>
      <c r="E97" s="25"/>
      <c r="F97" s="45">
        <f>SUM(F98:F105)</f>
        <v>15227051.66</v>
      </c>
      <c r="G97" s="45">
        <f>SUM(G98:G104)</f>
        <v>16852416.689999998</v>
      </c>
      <c r="H97" s="45">
        <f>SUM(H98:H104)</f>
        <v>16553796.009999998</v>
      </c>
      <c r="I97" s="26"/>
    </row>
    <row r="98" spans="1:9" s="4" customFormat="1" ht="14.45" customHeight="1" x14ac:dyDescent="0.2">
      <c r="A98" s="144" t="s">
        <v>101</v>
      </c>
      <c r="B98" s="145"/>
      <c r="C98" s="21"/>
      <c r="D98" s="23"/>
      <c r="E98" s="21"/>
      <c r="F98" s="22"/>
      <c r="G98" s="22"/>
      <c r="H98" s="22"/>
      <c r="I98" s="22"/>
    </row>
    <row r="99" spans="1:9" s="4" customFormat="1" ht="16.149999999999999" customHeight="1" x14ac:dyDescent="0.2">
      <c r="A99" s="126" t="s">
        <v>102</v>
      </c>
      <c r="B99" s="126"/>
      <c r="C99" s="21">
        <v>2641</v>
      </c>
      <c r="D99" s="23" t="s">
        <v>103</v>
      </c>
      <c r="E99" s="21"/>
      <c r="F99" s="22">
        <v>572288.01</v>
      </c>
      <c r="G99" s="22">
        <v>234490.45</v>
      </c>
      <c r="H99" s="22">
        <v>234490.45</v>
      </c>
      <c r="I99" s="22"/>
    </row>
    <row r="100" spans="1:9" s="4" customFormat="1" ht="13.15" customHeight="1" x14ac:dyDescent="0.2">
      <c r="A100" s="126" t="s">
        <v>104</v>
      </c>
      <c r="B100" s="126"/>
      <c r="C100" s="21">
        <v>2642</v>
      </c>
      <c r="D100" s="23" t="s">
        <v>103</v>
      </c>
      <c r="E100" s="21"/>
      <c r="F100" s="22">
        <f>337858.02+68608.76</f>
        <v>406466.78</v>
      </c>
      <c r="G100" s="22">
        <v>290000</v>
      </c>
      <c r="H100" s="22">
        <v>290000</v>
      </c>
      <c r="I100" s="22"/>
    </row>
    <row r="101" spans="1:9" s="4" customFormat="1" ht="15" customHeight="1" x14ac:dyDescent="0.2">
      <c r="A101" s="144" t="s">
        <v>105</v>
      </c>
      <c r="B101" s="145"/>
      <c r="C101" s="24">
        <v>2643</v>
      </c>
      <c r="D101" s="23" t="s">
        <v>103</v>
      </c>
      <c r="E101" s="21"/>
      <c r="F101" s="22">
        <v>995776.81</v>
      </c>
      <c r="G101" s="22">
        <f>273209.72+50000</f>
        <v>323209.71999999997</v>
      </c>
      <c r="H101" s="22">
        <f>273209.72+50000</f>
        <v>323209.71999999997</v>
      </c>
      <c r="I101" s="22"/>
    </row>
    <row r="102" spans="1:9" s="4" customFormat="1" ht="14.45" customHeight="1" x14ac:dyDescent="0.2">
      <c r="A102" s="126" t="s">
        <v>106</v>
      </c>
      <c r="B102" s="126"/>
      <c r="C102" s="21">
        <v>2644</v>
      </c>
      <c r="D102" s="23" t="s">
        <v>103</v>
      </c>
      <c r="E102" s="21"/>
      <c r="F102" s="22">
        <v>10051411.23</v>
      </c>
      <c r="G102" s="22">
        <f>535232.88+1799245.32+205000+8792949.77+45350+25100+11600+236850+18223.07</f>
        <v>11669551.039999999</v>
      </c>
      <c r="H102" s="22">
        <f>535232.88+1799245.32+205000+45350+22330.32+8036+236850+8541399.36</f>
        <v>11393443.879999999</v>
      </c>
      <c r="I102" s="22"/>
    </row>
    <row r="103" spans="1:9" s="4" customFormat="1" ht="16.149999999999999" customHeight="1" x14ac:dyDescent="0.2">
      <c r="A103" s="126" t="s">
        <v>107</v>
      </c>
      <c r="B103" s="126"/>
      <c r="C103" s="24">
        <v>2645</v>
      </c>
      <c r="D103" s="23" t="s">
        <v>103</v>
      </c>
      <c r="E103" s="21"/>
      <c r="F103" s="22">
        <v>2514827.9300000002</v>
      </c>
      <c r="G103" s="22">
        <f>1857200+1500000</f>
        <v>3357200</v>
      </c>
      <c r="H103" s="22">
        <f>1857200+1500000</f>
        <v>3357200</v>
      </c>
      <c r="I103" s="22"/>
    </row>
    <row r="104" spans="1:9" s="4" customFormat="1" ht="13.9" customHeight="1" x14ac:dyDescent="0.2">
      <c r="A104" s="126" t="s">
        <v>108</v>
      </c>
      <c r="B104" s="126"/>
      <c r="C104" s="24">
        <v>2646</v>
      </c>
      <c r="D104" s="23" t="s">
        <v>103</v>
      </c>
      <c r="E104" s="21"/>
      <c r="F104" s="22">
        <v>686280.9</v>
      </c>
      <c r="G104" s="22">
        <f>20665.48+62000+654400+300000+22000+25000-106100</f>
        <v>977965.48</v>
      </c>
      <c r="H104" s="22">
        <f>20665.48+62000+654400+300000+22000+25000-128613.52</f>
        <v>955451.96</v>
      </c>
      <c r="I104" s="22"/>
    </row>
    <row r="105" spans="1:9" s="4" customFormat="1" ht="10.15" customHeight="1" x14ac:dyDescent="0.2">
      <c r="A105" s="139"/>
      <c r="B105" s="140"/>
      <c r="C105" s="24"/>
      <c r="D105" s="23"/>
      <c r="E105" s="21"/>
      <c r="F105" s="22"/>
      <c r="G105" s="22"/>
      <c r="H105" s="22"/>
      <c r="I105" s="22"/>
    </row>
    <row r="106" spans="1:9" s="76" customFormat="1" ht="17.45" customHeight="1" x14ac:dyDescent="0.2">
      <c r="A106" s="142" t="s">
        <v>211</v>
      </c>
      <c r="B106" s="143" t="s">
        <v>211</v>
      </c>
      <c r="C106" s="74">
        <v>2660</v>
      </c>
      <c r="D106" s="75" t="s">
        <v>212</v>
      </c>
      <c r="E106" s="25"/>
      <c r="F106" s="77">
        <f>F108</f>
        <v>2616225.21</v>
      </c>
      <c r="G106" s="77">
        <f>G108</f>
        <v>2351188</v>
      </c>
      <c r="H106" s="77">
        <f>H108</f>
        <v>2351188</v>
      </c>
      <c r="I106" s="26"/>
    </row>
    <row r="107" spans="1:9" s="4" customFormat="1" ht="17.45" customHeight="1" x14ac:dyDescent="0.2">
      <c r="A107" s="144" t="s">
        <v>50</v>
      </c>
      <c r="B107" s="145" t="s">
        <v>50</v>
      </c>
      <c r="C107" s="24"/>
      <c r="D107" s="23"/>
      <c r="E107" s="21"/>
      <c r="F107" s="22"/>
      <c r="G107" s="22"/>
      <c r="H107" s="22"/>
      <c r="I107" s="22"/>
    </row>
    <row r="108" spans="1:9" s="4" customFormat="1" ht="17.45" customHeight="1" x14ac:dyDescent="0.2">
      <c r="A108" s="144" t="s">
        <v>104</v>
      </c>
      <c r="B108" s="145" t="s">
        <v>104</v>
      </c>
      <c r="C108" s="24">
        <v>2661</v>
      </c>
      <c r="D108" s="23" t="s">
        <v>212</v>
      </c>
      <c r="E108" s="21"/>
      <c r="F108" s="22">
        <v>2616225.21</v>
      </c>
      <c r="G108" s="22">
        <v>2351188</v>
      </c>
      <c r="H108" s="22">
        <v>2351188</v>
      </c>
      <c r="I108" s="22"/>
    </row>
    <row r="109" spans="1:9" s="4" customFormat="1" ht="21.6" customHeight="1" x14ac:dyDescent="0.2">
      <c r="A109" s="139" t="s">
        <v>109</v>
      </c>
      <c r="B109" s="140"/>
      <c r="C109" s="21">
        <v>2650</v>
      </c>
      <c r="D109" s="21">
        <v>400</v>
      </c>
      <c r="E109" s="21"/>
      <c r="F109" s="22">
        <f>F110+F111</f>
        <v>0</v>
      </c>
      <c r="G109" s="22">
        <f>G110+G111</f>
        <v>0</v>
      </c>
      <c r="H109" s="22">
        <f>H110+H111</f>
        <v>0</v>
      </c>
      <c r="I109" s="22">
        <f>I110+I111</f>
        <v>0</v>
      </c>
    </row>
    <row r="110" spans="1:9" s="4" customFormat="1" ht="37.9" customHeight="1" x14ac:dyDescent="0.2">
      <c r="A110" s="139" t="s">
        <v>110</v>
      </c>
      <c r="B110" s="140"/>
      <c r="C110" s="21">
        <v>2651</v>
      </c>
      <c r="D110" s="21">
        <v>406</v>
      </c>
      <c r="E110" s="21"/>
      <c r="F110" s="22"/>
      <c r="G110" s="22"/>
      <c r="H110" s="22"/>
      <c r="I110" s="22"/>
    </row>
    <row r="111" spans="1:9" s="4" customFormat="1" ht="30" customHeight="1" x14ac:dyDescent="0.2">
      <c r="A111" s="139" t="s">
        <v>111</v>
      </c>
      <c r="B111" s="140"/>
      <c r="C111" s="21">
        <v>2652</v>
      </c>
      <c r="D111" s="21">
        <v>407</v>
      </c>
      <c r="E111" s="21"/>
      <c r="F111" s="22"/>
      <c r="G111" s="22"/>
      <c r="H111" s="22"/>
      <c r="I111" s="22"/>
    </row>
    <row r="112" spans="1:9" s="4" customFormat="1" ht="15" customHeight="1" x14ac:dyDescent="0.2">
      <c r="A112" s="141" t="s">
        <v>112</v>
      </c>
      <c r="B112" s="141"/>
      <c r="C112" s="25">
        <v>3000</v>
      </c>
      <c r="D112" s="25">
        <v>100</v>
      </c>
      <c r="E112" s="21"/>
      <c r="F112" s="45">
        <f>SUM(F113:F115)</f>
        <v>0</v>
      </c>
      <c r="G112" s="45">
        <f>SUM(G113:G115)</f>
        <v>0</v>
      </c>
      <c r="H112" s="45">
        <f>SUM(H113:H115)</f>
        <v>0</v>
      </c>
      <c r="I112" s="26" t="s">
        <v>25</v>
      </c>
    </row>
    <row r="113" spans="1:9" s="4" customFormat="1" ht="26.25" customHeight="1" x14ac:dyDescent="0.2">
      <c r="A113" s="126" t="s">
        <v>113</v>
      </c>
      <c r="B113" s="126"/>
      <c r="C113" s="21">
        <v>3010</v>
      </c>
      <c r="D113" s="21"/>
      <c r="E113" s="25"/>
      <c r="F113" s="22"/>
      <c r="G113" s="22"/>
      <c r="H113" s="22"/>
      <c r="I113" s="22" t="s">
        <v>25</v>
      </c>
    </row>
    <row r="114" spans="1:9" s="4" customFormat="1" ht="15" customHeight="1" x14ac:dyDescent="0.2">
      <c r="A114" s="126" t="s">
        <v>114</v>
      </c>
      <c r="B114" s="126"/>
      <c r="C114" s="21">
        <v>3020</v>
      </c>
      <c r="D114" s="21"/>
      <c r="E114" s="21"/>
      <c r="F114" s="22"/>
      <c r="G114" s="22"/>
      <c r="H114" s="22"/>
      <c r="I114" s="22" t="s">
        <v>25</v>
      </c>
    </row>
    <row r="115" spans="1:9" s="4" customFormat="1" ht="15" customHeight="1" x14ac:dyDescent="0.2">
      <c r="A115" s="126" t="s">
        <v>115</v>
      </c>
      <c r="B115" s="126"/>
      <c r="C115" s="21">
        <v>3030</v>
      </c>
      <c r="D115" s="21"/>
      <c r="E115" s="21"/>
      <c r="F115" s="22"/>
      <c r="G115" s="22"/>
      <c r="H115" s="22"/>
      <c r="I115" s="22" t="s">
        <v>25</v>
      </c>
    </row>
    <row r="116" spans="1:9" s="4" customFormat="1" ht="15" customHeight="1" x14ac:dyDescent="0.2">
      <c r="A116" s="141" t="s">
        <v>116</v>
      </c>
      <c r="B116" s="141"/>
      <c r="C116" s="25">
        <v>4000</v>
      </c>
      <c r="D116" s="25" t="s">
        <v>25</v>
      </c>
      <c r="E116" s="21"/>
      <c r="F116" s="45">
        <f>F117</f>
        <v>472086.57</v>
      </c>
      <c r="G116" s="26">
        <f>G117</f>
        <v>0</v>
      </c>
      <c r="H116" s="26">
        <f>H117</f>
        <v>0</v>
      </c>
      <c r="I116" s="26" t="s">
        <v>25</v>
      </c>
    </row>
    <row r="117" spans="1:9" s="4" customFormat="1" ht="25.5" customHeight="1" x14ac:dyDescent="0.2">
      <c r="A117" s="126" t="s">
        <v>117</v>
      </c>
      <c r="B117" s="126"/>
      <c r="C117" s="21">
        <v>4010</v>
      </c>
      <c r="D117" s="21">
        <v>610</v>
      </c>
      <c r="E117" s="25"/>
      <c r="F117" s="22">
        <f>378548.25+72228.32+21310</f>
        <v>472086.57</v>
      </c>
      <c r="G117" s="22"/>
      <c r="H117" s="22"/>
      <c r="I117" s="22" t="s">
        <v>25</v>
      </c>
    </row>
    <row r="118" spans="1:9" s="4" customFormat="1" ht="9.6" customHeight="1" x14ac:dyDescent="0.2">
      <c r="A118" s="27"/>
      <c r="B118" s="28"/>
      <c r="C118" s="29"/>
      <c r="D118" s="29"/>
      <c r="E118" s="30"/>
      <c r="F118" s="31"/>
      <c r="G118" s="31"/>
      <c r="H118" s="31"/>
      <c r="I118" s="31"/>
    </row>
    <row r="119" spans="1:9" x14ac:dyDescent="0.25">
      <c r="A119" s="127" t="s">
        <v>118</v>
      </c>
      <c r="B119" s="127"/>
      <c r="C119" s="127"/>
      <c r="D119" s="127"/>
      <c r="E119" s="127"/>
      <c r="F119" s="127"/>
      <c r="G119" s="127"/>
      <c r="H119" s="127"/>
      <c r="I119" s="32"/>
    </row>
    <row r="120" spans="1:9" ht="7.9" customHeight="1" x14ac:dyDescent="0.25">
      <c r="A120" s="33"/>
      <c r="B120" s="32"/>
      <c r="C120" s="34"/>
      <c r="D120" s="34"/>
      <c r="E120" s="34"/>
      <c r="F120" s="34"/>
      <c r="G120" s="34"/>
      <c r="H120" s="34"/>
      <c r="I120" s="32"/>
    </row>
    <row r="121" spans="1:9" ht="15.6" customHeight="1" x14ac:dyDescent="0.25">
      <c r="A121" s="128" t="s">
        <v>119</v>
      </c>
      <c r="B121" s="128" t="s">
        <v>12</v>
      </c>
      <c r="C121" s="128" t="s">
        <v>120</v>
      </c>
      <c r="D121" s="128" t="s">
        <v>121</v>
      </c>
      <c r="E121" s="131" t="s">
        <v>14</v>
      </c>
      <c r="F121" s="134" t="s">
        <v>16</v>
      </c>
      <c r="G121" s="135"/>
      <c r="H121" s="135"/>
      <c r="I121" s="136"/>
    </row>
    <row r="122" spans="1:9" ht="19.899999999999999" customHeight="1" x14ac:dyDescent="0.25">
      <c r="A122" s="129"/>
      <c r="B122" s="129"/>
      <c r="C122" s="129"/>
      <c r="D122" s="129"/>
      <c r="E122" s="132"/>
      <c r="F122" s="11" t="s">
        <v>17</v>
      </c>
      <c r="G122" s="11" t="s">
        <v>18</v>
      </c>
      <c r="H122" s="11" t="s">
        <v>218</v>
      </c>
      <c r="I122" s="137" t="s">
        <v>19</v>
      </c>
    </row>
    <row r="123" spans="1:9" ht="36.6" customHeight="1" x14ac:dyDescent="0.25">
      <c r="A123" s="130"/>
      <c r="B123" s="130"/>
      <c r="C123" s="130"/>
      <c r="D123" s="130"/>
      <c r="E123" s="133"/>
      <c r="F123" s="11" t="s">
        <v>20</v>
      </c>
      <c r="G123" s="11" t="s">
        <v>21</v>
      </c>
      <c r="H123" s="11" t="s">
        <v>22</v>
      </c>
      <c r="I123" s="138"/>
    </row>
    <row r="124" spans="1:9" ht="14.45" customHeight="1" x14ac:dyDescent="0.25">
      <c r="A124" s="19">
        <v>1</v>
      </c>
      <c r="B124" s="11">
        <v>2</v>
      </c>
      <c r="C124" s="11">
        <v>3</v>
      </c>
      <c r="D124" s="11">
        <v>4</v>
      </c>
      <c r="E124" s="12" t="s">
        <v>122</v>
      </c>
      <c r="F124" s="11">
        <v>5</v>
      </c>
      <c r="G124" s="11">
        <v>6</v>
      </c>
      <c r="H124" s="11">
        <v>7</v>
      </c>
      <c r="I124" s="11">
        <v>8</v>
      </c>
    </row>
    <row r="125" spans="1:9" ht="21" customHeight="1" x14ac:dyDescent="0.25">
      <c r="A125" s="19">
        <v>1</v>
      </c>
      <c r="B125" s="35" t="s">
        <v>123</v>
      </c>
      <c r="C125" s="25">
        <v>26000</v>
      </c>
      <c r="D125" s="25" t="s">
        <v>25</v>
      </c>
      <c r="E125" s="10" t="s">
        <v>25</v>
      </c>
      <c r="F125" s="45">
        <f>F126+F127+F128+F132</f>
        <v>17843276.870000005</v>
      </c>
      <c r="G125" s="45">
        <f>G126+G127+G128+G132</f>
        <v>19203604.689999998</v>
      </c>
      <c r="H125" s="45">
        <f>H126+H127+H128+H132</f>
        <v>18904984.009999998</v>
      </c>
      <c r="I125" s="26">
        <f>I126+I127+I128+I132</f>
        <v>0</v>
      </c>
    </row>
    <row r="126" spans="1:9" ht="145.15" customHeight="1" x14ac:dyDescent="0.25">
      <c r="A126" s="36" t="s">
        <v>124</v>
      </c>
      <c r="B126" s="37" t="s">
        <v>125</v>
      </c>
      <c r="C126" s="38">
        <v>26100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9" ht="40.9" customHeight="1" x14ac:dyDescent="0.25">
      <c r="A127" s="36" t="s">
        <v>126</v>
      </c>
      <c r="B127" s="37" t="s">
        <v>127</v>
      </c>
      <c r="C127" s="38">
        <v>26200</v>
      </c>
      <c r="D127" s="21" t="s">
        <v>25</v>
      </c>
      <c r="E127" s="10" t="s">
        <v>25</v>
      </c>
      <c r="F127" s="22"/>
      <c r="G127" s="22"/>
      <c r="H127" s="22"/>
      <c r="I127" s="22"/>
    </row>
    <row r="128" spans="1:9" ht="39" customHeight="1" x14ac:dyDescent="0.25">
      <c r="A128" s="36" t="s">
        <v>128</v>
      </c>
      <c r="B128" s="37" t="s">
        <v>129</v>
      </c>
      <c r="C128" s="38">
        <v>26300</v>
      </c>
      <c r="D128" s="21" t="s">
        <v>25</v>
      </c>
      <c r="E128" s="10" t="s">
        <v>25</v>
      </c>
      <c r="F128" s="22">
        <v>4307335.72</v>
      </c>
      <c r="G128" s="22">
        <v>0</v>
      </c>
      <c r="H128" s="22">
        <v>0</v>
      </c>
      <c r="I128" s="22"/>
    </row>
    <row r="129" spans="1:12" ht="14.45" customHeight="1" x14ac:dyDescent="0.25">
      <c r="A129" s="39" t="s">
        <v>130</v>
      </c>
      <c r="B129" s="37" t="s">
        <v>131</v>
      </c>
      <c r="C129" s="38">
        <v>26310</v>
      </c>
      <c r="D129" s="21" t="s">
        <v>25</v>
      </c>
      <c r="E129" s="40" t="s">
        <v>25</v>
      </c>
      <c r="F129" s="44">
        <f>F128</f>
        <v>4307335.72</v>
      </c>
      <c r="G129" s="22"/>
      <c r="H129" s="22"/>
      <c r="I129" s="22"/>
    </row>
    <row r="130" spans="1:12" x14ac:dyDescent="0.25">
      <c r="A130" s="39"/>
      <c r="B130" s="37" t="s">
        <v>191</v>
      </c>
      <c r="C130" s="38" t="s">
        <v>132</v>
      </c>
      <c r="D130" s="21" t="s">
        <v>25</v>
      </c>
      <c r="E130" s="10">
        <v>150</v>
      </c>
      <c r="F130" s="22">
        <v>35880</v>
      </c>
      <c r="G130" s="22"/>
      <c r="H130" s="22"/>
      <c r="I130" s="22"/>
      <c r="J130" s="53"/>
      <c r="K130" s="53"/>
    </row>
    <row r="131" spans="1:12" ht="15.6" customHeight="1" x14ac:dyDescent="0.25">
      <c r="A131" s="39" t="s">
        <v>133</v>
      </c>
      <c r="B131" s="37" t="s">
        <v>134</v>
      </c>
      <c r="C131" s="38">
        <v>26320</v>
      </c>
      <c r="D131" s="21" t="s">
        <v>25</v>
      </c>
      <c r="E131" s="10" t="s">
        <v>25</v>
      </c>
      <c r="F131" s="22"/>
      <c r="G131" s="22"/>
      <c r="H131" s="22"/>
      <c r="I131" s="22"/>
    </row>
    <row r="132" spans="1:12" ht="39.6" customHeight="1" x14ac:dyDescent="0.25">
      <c r="A132" s="36" t="s">
        <v>135</v>
      </c>
      <c r="B132" s="37" t="s">
        <v>136</v>
      </c>
      <c r="C132" s="38">
        <v>26400</v>
      </c>
      <c r="D132" s="21" t="s">
        <v>25</v>
      </c>
      <c r="E132" s="10" t="s">
        <v>25</v>
      </c>
      <c r="F132" s="44">
        <f>F133+F136+F143+F145+F148</f>
        <v>13535941.150000004</v>
      </c>
      <c r="G132" s="44">
        <f>G133+G136+G143+G145+G148</f>
        <v>19203604.689999998</v>
      </c>
      <c r="H132" s="44">
        <f>H133+H136+H143+H145+H148</f>
        <v>18904984.009999998</v>
      </c>
      <c r="I132" s="22">
        <f>I133+I136+I143+I145+I148</f>
        <v>0</v>
      </c>
      <c r="J132" s="50"/>
      <c r="K132" s="6"/>
      <c r="L132" s="6"/>
    </row>
    <row r="133" spans="1:12" ht="38.450000000000003" customHeight="1" x14ac:dyDescent="0.25">
      <c r="A133" s="39" t="s">
        <v>137</v>
      </c>
      <c r="B133" s="37" t="s">
        <v>138</v>
      </c>
      <c r="C133" s="38">
        <v>26410</v>
      </c>
      <c r="D133" s="21" t="s">
        <v>25</v>
      </c>
      <c r="E133" s="10" t="s">
        <v>25</v>
      </c>
      <c r="F133" s="44">
        <f>F134+F135</f>
        <v>4152224.2200000016</v>
      </c>
      <c r="G133" s="44">
        <f>G134+G135</f>
        <v>6583666.3699999973</v>
      </c>
      <c r="H133" s="44">
        <f>H134+H135</f>
        <v>6561152.8499999996</v>
      </c>
      <c r="I133" s="22">
        <f>I134+I135</f>
        <v>0</v>
      </c>
    </row>
    <row r="134" spans="1:12" ht="26.25" x14ac:dyDescent="0.25">
      <c r="A134" s="39" t="s">
        <v>139</v>
      </c>
      <c r="B134" s="37" t="s">
        <v>140</v>
      </c>
      <c r="C134" s="38">
        <v>26411</v>
      </c>
      <c r="D134" s="21" t="s">
        <v>25</v>
      </c>
      <c r="E134" s="10" t="s">
        <v>25</v>
      </c>
      <c r="F134" s="44">
        <f>F94-F128-F136-F148-F126</f>
        <v>4152224.2200000016</v>
      </c>
      <c r="G134" s="44">
        <f>G94-G128-G136-G148</f>
        <v>6583666.3699999973</v>
      </c>
      <c r="H134" s="44">
        <f>H94-H128-H136-H148</f>
        <v>6561152.8499999996</v>
      </c>
      <c r="I134" s="22"/>
    </row>
    <row r="135" spans="1:12" ht="19.899999999999999" customHeight="1" x14ac:dyDescent="0.25">
      <c r="A135" s="39" t="s">
        <v>141</v>
      </c>
      <c r="B135" s="37" t="s">
        <v>142</v>
      </c>
      <c r="C135" s="21">
        <v>26412</v>
      </c>
      <c r="D135" s="21" t="s">
        <v>25</v>
      </c>
      <c r="E135" s="10" t="s">
        <v>25</v>
      </c>
      <c r="F135" s="22"/>
      <c r="G135" s="22"/>
      <c r="H135" s="22"/>
      <c r="I135" s="22"/>
    </row>
    <row r="136" spans="1:12" ht="28.9" customHeight="1" x14ac:dyDescent="0.25">
      <c r="A136" s="39" t="s">
        <v>143</v>
      </c>
      <c r="B136" s="37" t="s">
        <v>144</v>
      </c>
      <c r="C136" s="38">
        <v>26420</v>
      </c>
      <c r="D136" s="21" t="s">
        <v>25</v>
      </c>
      <c r="E136" s="10" t="s">
        <v>25</v>
      </c>
      <c r="F136" s="44">
        <f>F137+F142</f>
        <v>8941917.9600000009</v>
      </c>
      <c r="G136" s="44">
        <f>G137+G142</f>
        <v>12537272.84</v>
      </c>
      <c r="H136" s="44">
        <f>H137+H142</f>
        <v>12261165.679999998</v>
      </c>
      <c r="I136" s="22">
        <f>I137+I142</f>
        <v>0</v>
      </c>
    </row>
    <row r="137" spans="1:12" ht="26.45" customHeight="1" x14ac:dyDescent="0.25">
      <c r="A137" s="39" t="s">
        <v>145</v>
      </c>
      <c r="B137" s="37" t="s">
        <v>140</v>
      </c>
      <c r="C137" s="38">
        <v>26421</v>
      </c>
      <c r="D137" s="21" t="s">
        <v>25</v>
      </c>
      <c r="E137" s="10" t="s">
        <v>25</v>
      </c>
      <c r="F137" s="82">
        <f>F36-76804.92-23195.08-F55-F130-F41</f>
        <v>8941917.9600000009</v>
      </c>
      <c r="G137" s="44">
        <f>G36-76804.92-23195.08-G55</f>
        <v>12537272.84</v>
      </c>
      <c r="H137" s="44">
        <f>H36-76804.92-23195.08-H55</f>
        <v>12261165.679999998</v>
      </c>
      <c r="I137" s="22"/>
    </row>
    <row r="138" spans="1:12" ht="15.6" customHeight="1" x14ac:dyDescent="0.25">
      <c r="A138" s="39"/>
      <c r="B138" s="37" t="s">
        <v>146</v>
      </c>
      <c r="C138" s="38" t="s">
        <v>147</v>
      </c>
      <c r="D138" s="21" t="s">
        <v>25</v>
      </c>
      <c r="E138" s="10">
        <v>150</v>
      </c>
      <c r="F138" s="44">
        <f>F137-F139-F140-F141</f>
        <v>2809847.9700000007</v>
      </c>
      <c r="G138" s="44">
        <f>G137-G139-G140-G141</f>
        <v>3744323.0699999994</v>
      </c>
      <c r="H138" s="44">
        <f>H137-H139-H140-H141</f>
        <v>3719766.319999998</v>
      </c>
      <c r="I138" s="22"/>
      <c r="J138" s="51"/>
    </row>
    <row r="139" spans="1:12" ht="55.15" customHeight="1" x14ac:dyDescent="0.25">
      <c r="A139" s="39"/>
      <c r="B139" s="37" t="s">
        <v>198</v>
      </c>
      <c r="C139" s="38" t="s">
        <v>225</v>
      </c>
      <c r="D139" s="21" t="s">
        <v>25</v>
      </c>
      <c r="E139" s="10" t="s">
        <v>197</v>
      </c>
      <c r="F139" s="44">
        <f>F52</f>
        <v>4520564.6500000004</v>
      </c>
      <c r="G139" s="44">
        <v>6481945.7000000002</v>
      </c>
      <c r="H139" s="44">
        <f>H52</f>
        <v>6482395.7000000002</v>
      </c>
      <c r="I139" s="22"/>
      <c r="J139" s="51"/>
    </row>
    <row r="140" spans="1:12" ht="59.45" customHeight="1" x14ac:dyDescent="0.25">
      <c r="A140" s="39"/>
      <c r="B140" s="37" t="s">
        <v>199</v>
      </c>
      <c r="C140" s="38" t="s">
        <v>226</v>
      </c>
      <c r="D140" s="21" t="s">
        <v>25</v>
      </c>
      <c r="E140" s="10" t="s">
        <v>197</v>
      </c>
      <c r="F140" s="44">
        <f>F53</f>
        <v>1427543.13</v>
      </c>
      <c r="G140" s="44">
        <v>2046995.37</v>
      </c>
      <c r="H140" s="44">
        <f>H53</f>
        <v>1802579.38</v>
      </c>
      <c r="I140" s="22"/>
    </row>
    <row r="141" spans="1:12" ht="53.45" customHeight="1" x14ac:dyDescent="0.25">
      <c r="A141" s="39"/>
      <c r="B141" s="37" t="s">
        <v>200</v>
      </c>
      <c r="C141" s="38" t="s">
        <v>194</v>
      </c>
      <c r="D141" s="21" t="s">
        <v>25</v>
      </c>
      <c r="E141" s="10" t="s">
        <v>197</v>
      </c>
      <c r="F141" s="44">
        <f>F54</f>
        <v>183962.21</v>
      </c>
      <c r="G141" s="44">
        <v>264008.7</v>
      </c>
      <c r="H141" s="44">
        <f>H54</f>
        <v>256424.28</v>
      </c>
      <c r="I141" s="22"/>
    </row>
    <row r="142" spans="1:12" ht="19.899999999999999" customHeight="1" x14ac:dyDescent="0.25">
      <c r="A142" s="39" t="s">
        <v>148</v>
      </c>
      <c r="B142" s="37" t="s">
        <v>142</v>
      </c>
      <c r="C142" s="38">
        <v>26422</v>
      </c>
      <c r="D142" s="21" t="s">
        <v>25</v>
      </c>
      <c r="E142" s="10" t="s">
        <v>25</v>
      </c>
      <c r="F142" s="22"/>
      <c r="G142" s="22"/>
      <c r="H142" s="22"/>
      <c r="I142" s="22"/>
    </row>
    <row r="143" spans="1:12" ht="18.600000000000001" customHeight="1" x14ac:dyDescent="0.25">
      <c r="A143" s="39" t="s">
        <v>149</v>
      </c>
      <c r="B143" s="37" t="s">
        <v>150</v>
      </c>
      <c r="C143" s="38">
        <v>26430</v>
      </c>
      <c r="D143" s="21" t="s">
        <v>25</v>
      </c>
      <c r="E143" s="10" t="s">
        <v>25</v>
      </c>
      <c r="F143" s="22"/>
      <c r="G143" s="22"/>
      <c r="H143" s="22"/>
      <c r="I143" s="22"/>
      <c r="L143" s="51"/>
    </row>
    <row r="144" spans="1:12" ht="16.899999999999999" customHeight="1" x14ac:dyDescent="0.25">
      <c r="A144" s="39"/>
      <c r="B144" s="37" t="s">
        <v>146</v>
      </c>
      <c r="C144" s="38" t="s">
        <v>151</v>
      </c>
      <c r="D144" s="21" t="s">
        <v>25</v>
      </c>
      <c r="E144" s="10"/>
      <c r="F144" s="22"/>
      <c r="G144" s="22"/>
      <c r="H144" s="22"/>
      <c r="I144" s="22"/>
    </row>
    <row r="145" spans="1:10" ht="19.149999999999999" customHeight="1" x14ac:dyDescent="0.25">
      <c r="A145" s="39" t="s">
        <v>152</v>
      </c>
      <c r="B145" s="37" t="s">
        <v>153</v>
      </c>
      <c r="C145" s="38">
        <v>26440</v>
      </c>
      <c r="D145" s="21" t="s">
        <v>25</v>
      </c>
      <c r="E145" s="10" t="s">
        <v>25</v>
      </c>
      <c r="F145" s="44">
        <f>F146+F147</f>
        <v>0</v>
      </c>
      <c r="G145" s="44">
        <f>G146+G147</f>
        <v>0</v>
      </c>
      <c r="H145" s="44">
        <f>H146+H147</f>
        <v>0</v>
      </c>
      <c r="I145" s="22">
        <f>I146+I147</f>
        <v>0</v>
      </c>
    </row>
    <row r="146" spans="1:10" ht="27.6" customHeight="1" x14ac:dyDescent="0.25">
      <c r="A146" s="39" t="s">
        <v>154</v>
      </c>
      <c r="B146" s="37" t="s">
        <v>140</v>
      </c>
      <c r="C146" s="38">
        <v>26441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19.149999999999999" customHeight="1" x14ac:dyDescent="0.25">
      <c r="A147" s="41" t="s">
        <v>155</v>
      </c>
      <c r="B147" s="37" t="s">
        <v>142</v>
      </c>
      <c r="C147" s="38">
        <v>26442</v>
      </c>
      <c r="D147" s="21" t="s">
        <v>25</v>
      </c>
      <c r="E147" s="10" t="s">
        <v>25</v>
      </c>
      <c r="F147" s="22"/>
      <c r="G147" s="22"/>
      <c r="H147" s="22"/>
      <c r="I147" s="22"/>
    </row>
    <row r="148" spans="1:10" ht="19.899999999999999" customHeight="1" x14ac:dyDescent="0.25">
      <c r="A148" s="41" t="s">
        <v>156</v>
      </c>
      <c r="B148" s="37" t="s">
        <v>157</v>
      </c>
      <c r="C148" s="38">
        <v>26450</v>
      </c>
      <c r="D148" s="21" t="s">
        <v>25</v>
      </c>
      <c r="E148" s="10" t="s">
        <v>25</v>
      </c>
      <c r="F148" s="94">
        <f>F149+F151</f>
        <v>441798.97</v>
      </c>
      <c r="G148" s="94">
        <f>G149+G151</f>
        <v>82665.48</v>
      </c>
      <c r="H148" s="94">
        <f>H149+H151</f>
        <v>82665.48</v>
      </c>
      <c r="I148" s="22">
        <f>I149+I151</f>
        <v>0</v>
      </c>
    </row>
    <row r="149" spans="1:10" ht="26.25" x14ac:dyDescent="0.25">
      <c r="A149" s="41" t="s">
        <v>158</v>
      </c>
      <c r="B149" s="37" t="s">
        <v>140</v>
      </c>
      <c r="C149" s="38">
        <v>26451</v>
      </c>
      <c r="D149" s="21" t="s">
        <v>25</v>
      </c>
      <c r="E149" s="10" t="s">
        <v>25</v>
      </c>
      <c r="F149" s="94">
        <v>441798.97</v>
      </c>
      <c r="G149" s="94">
        <f>20665.48+62000</f>
        <v>82665.48</v>
      </c>
      <c r="H149" s="94">
        <f>20665.48+62000</f>
        <v>82665.48</v>
      </c>
      <c r="I149" s="22"/>
    </row>
    <row r="150" spans="1:10" ht="19.149999999999999" customHeight="1" x14ac:dyDescent="0.25">
      <c r="A150" s="41"/>
      <c r="B150" s="37" t="s">
        <v>146</v>
      </c>
      <c r="C150" s="38" t="s">
        <v>159</v>
      </c>
      <c r="D150" s="21" t="s">
        <v>25</v>
      </c>
      <c r="E150" s="10">
        <v>150</v>
      </c>
      <c r="F150" s="49"/>
      <c r="G150" s="22"/>
      <c r="H150" s="22"/>
      <c r="I150" s="22"/>
      <c r="J150" s="53"/>
    </row>
    <row r="151" spans="1:10" ht="19.899999999999999" customHeight="1" x14ac:dyDescent="0.25">
      <c r="A151" s="41" t="s">
        <v>160</v>
      </c>
      <c r="B151" s="37" t="s">
        <v>142</v>
      </c>
      <c r="C151" s="38">
        <v>26452</v>
      </c>
      <c r="D151" s="21" t="s">
        <v>25</v>
      </c>
      <c r="E151" s="10" t="s">
        <v>25</v>
      </c>
      <c r="F151" s="22"/>
      <c r="G151" s="22"/>
      <c r="H151" s="22"/>
      <c r="I151" s="22"/>
    </row>
    <row r="152" spans="1:10" ht="42.6" customHeight="1" x14ac:dyDescent="0.25">
      <c r="A152" s="41" t="s">
        <v>161</v>
      </c>
      <c r="B152" s="37" t="s">
        <v>162</v>
      </c>
      <c r="C152" s="38">
        <v>26500</v>
      </c>
      <c r="D152" s="21" t="s">
        <v>25</v>
      </c>
      <c r="E152" s="10" t="s">
        <v>25</v>
      </c>
      <c r="F152" s="44">
        <f>F154+F155+F156</f>
        <v>13535941.150000004</v>
      </c>
      <c r="G152" s="44">
        <f>G154+G155+G156</f>
        <v>19203604.689999998</v>
      </c>
      <c r="H152" s="44">
        <f>H154+H155+H156</f>
        <v>18904984.009999998</v>
      </c>
      <c r="I152" s="22">
        <f>I153+I157</f>
        <v>0</v>
      </c>
    </row>
    <row r="153" spans="1:10" ht="15.6" customHeight="1" x14ac:dyDescent="0.25">
      <c r="A153" s="41"/>
      <c r="B153" s="37" t="s">
        <v>163</v>
      </c>
      <c r="C153" s="38">
        <v>26510</v>
      </c>
      <c r="D153" s="21"/>
      <c r="E153" s="10" t="s">
        <v>25</v>
      </c>
      <c r="F153" s="44"/>
      <c r="G153" s="44"/>
      <c r="H153" s="44"/>
      <c r="I153" s="22"/>
    </row>
    <row r="154" spans="1:10" ht="18.600000000000001" customHeight="1" x14ac:dyDescent="0.25">
      <c r="A154" s="41" t="s">
        <v>204</v>
      </c>
      <c r="B154" s="37"/>
      <c r="C154" s="38"/>
      <c r="D154" s="21">
        <v>2021</v>
      </c>
      <c r="E154" s="10"/>
      <c r="F154" s="44">
        <f>F132</f>
        <v>13535941.150000004</v>
      </c>
      <c r="G154" s="44"/>
      <c r="H154" s="44"/>
      <c r="I154" s="22"/>
    </row>
    <row r="155" spans="1:10" ht="19.899999999999999" customHeight="1" x14ac:dyDescent="0.25">
      <c r="A155" s="41" t="s">
        <v>205</v>
      </c>
      <c r="B155" s="37"/>
      <c r="C155" s="38"/>
      <c r="D155" s="21">
        <v>2022</v>
      </c>
      <c r="E155" s="10"/>
      <c r="F155" s="44"/>
      <c r="G155" s="44">
        <f>G132-G154-G156</f>
        <v>19203604.689999998</v>
      </c>
      <c r="H155" s="44"/>
      <c r="I155" s="22"/>
    </row>
    <row r="156" spans="1:10" ht="18" customHeight="1" x14ac:dyDescent="0.25">
      <c r="A156" s="41" t="s">
        <v>206</v>
      </c>
      <c r="B156" s="37"/>
      <c r="C156" s="38"/>
      <c r="D156" s="21">
        <v>2023</v>
      </c>
      <c r="E156" s="10"/>
      <c r="F156" s="44"/>
      <c r="G156" s="44"/>
      <c r="H156" s="44">
        <f>H132-H155-H154</f>
        <v>18904984.009999998</v>
      </c>
      <c r="I156" s="22"/>
    </row>
    <row r="157" spans="1:10" ht="16.899999999999999" customHeight="1" x14ac:dyDescent="0.25">
      <c r="A157" s="41"/>
      <c r="B157" s="37"/>
      <c r="C157" s="38"/>
      <c r="D157" s="21"/>
      <c r="E157" s="10" t="s">
        <v>25</v>
      </c>
      <c r="F157" s="22"/>
      <c r="G157" s="22"/>
      <c r="H157" s="22"/>
      <c r="I157" s="22"/>
    </row>
    <row r="158" spans="1:10" ht="39" x14ac:dyDescent="0.25">
      <c r="A158" s="41" t="s">
        <v>164</v>
      </c>
      <c r="B158" s="37" t="s">
        <v>165</v>
      </c>
      <c r="C158" s="38">
        <v>26600</v>
      </c>
      <c r="D158" s="21" t="s">
        <v>25</v>
      </c>
      <c r="E158" s="10" t="s">
        <v>25</v>
      </c>
      <c r="F158" s="44">
        <f>F159+F160</f>
        <v>0</v>
      </c>
      <c r="G158" s="44">
        <f>G159+G160</f>
        <v>0</v>
      </c>
      <c r="H158" s="44">
        <f>H159+H160</f>
        <v>0</v>
      </c>
      <c r="I158" s="22">
        <f>I159+I160</f>
        <v>0</v>
      </c>
    </row>
    <row r="159" spans="1:10" x14ac:dyDescent="0.25">
      <c r="A159" s="41"/>
      <c r="B159" s="37" t="s">
        <v>163</v>
      </c>
      <c r="C159" s="38">
        <v>26610</v>
      </c>
      <c r="D159" s="21"/>
      <c r="E159" s="10" t="s">
        <v>25</v>
      </c>
      <c r="F159" s="22"/>
      <c r="G159" s="22"/>
      <c r="H159" s="22"/>
      <c r="I159" s="22"/>
    </row>
    <row r="160" spans="1:10" x14ac:dyDescent="0.25">
      <c r="A160" s="41"/>
      <c r="B160" s="37"/>
      <c r="C160" s="21"/>
      <c r="D160" s="21"/>
      <c r="E160" s="10" t="s">
        <v>25</v>
      </c>
      <c r="F160" s="22"/>
      <c r="G160" s="22"/>
      <c r="H160" s="22"/>
      <c r="I160" s="22"/>
    </row>
    <row r="161" spans="1:10" ht="6.75" customHeight="1" x14ac:dyDescent="0.25">
      <c r="A161" s="33"/>
      <c r="B161" s="32"/>
      <c r="C161" s="34"/>
      <c r="D161" s="34"/>
      <c r="E161" s="34"/>
      <c r="F161" s="34"/>
      <c r="G161" s="34"/>
      <c r="H161" s="34"/>
      <c r="I161" s="32"/>
    </row>
    <row r="162" spans="1:10" x14ac:dyDescent="0.25">
      <c r="A162" s="63"/>
      <c r="B162" s="5"/>
      <c r="C162" s="64"/>
      <c r="D162" s="64"/>
      <c r="E162" s="64"/>
      <c r="F162" s="64"/>
      <c r="G162" s="64"/>
      <c r="H162" s="64"/>
      <c r="I162" s="5"/>
    </row>
    <row r="163" spans="1:10" x14ac:dyDescent="0.25">
      <c r="A163" s="65" t="s">
        <v>227</v>
      </c>
      <c r="D163" s="66"/>
      <c r="E163" s="55"/>
      <c r="F163" s="124" t="s">
        <v>208</v>
      </c>
      <c r="G163" s="124"/>
    </row>
    <row r="164" spans="1:10" x14ac:dyDescent="0.25">
      <c r="B164" s="1"/>
      <c r="C164" s="1"/>
      <c r="D164" s="67" t="s">
        <v>166</v>
      </c>
      <c r="F164" s="125" t="s">
        <v>167</v>
      </c>
      <c r="G164" s="125"/>
    </row>
    <row r="165" spans="1:10" x14ac:dyDescent="0.25">
      <c r="B165" s="1"/>
      <c r="C165" s="1"/>
      <c r="D165" s="1"/>
      <c r="E165" s="1"/>
      <c r="F165" s="1"/>
      <c r="G165" s="68"/>
    </row>
    <row r="166" spans="1:10" x14ac:dyDescent="0.25">
      <c r="A166" s="65"/>
      <c r="D166" s="66"/>
      <c r="E166" s="55"/>
      <c r="F166" s="124" t="s">
        <v>168</v>
      </c>
      <c r="G166" s="124"/>
    </row>
    <row r="167" spans="1:10" ht="13.5" customHeight="1" x14ac:dyDescent="0.25">
      <c r="A167" s="1" t="s">
        <v>169</v>
      </c>
      <c r="B167" s="1"/>
      <c r="C167" s="1"/>
      <c r="D167" s="67" t="s">
        <v>166</v>
      </c>
      <c r="F167" s="125" t="s">
        <v>167</v>
      </c>
      <c r="G167" s="125"/>
    </row>
    <row r="168" spans="1:10" hidden="1" x14ac:dyDescent="0.25">
      <c r="A168" s="65"/>
    </row>
    <row r="169" spans="1:10" ht="1.5" hidden="1" customHeight="1" x14ac:dyDescent="0.3">
      <c r="A169" s="65"/>
      <c r="H169" s="69"/>
      <c r="I169" s="69"/>
      <c r="J169"/>
    </row>
    <row r="170" spans="1:10" ht="17.25" customHeight="1" x14ac:dyDescent="0.3">
      <c r="A170" s="70"/>
      <c r="B170" s="69"/>
      <c r="C170" s="69"/>
      <c r="H170" s="69"/>
      <c r="I170" s="69"/>
      <c r="J170"/>
    </row>
    <row r="171" spans="1:10" ht="18.75" hidden="1" x14ac:dyDescent="0.3">
      <c r="A171" s="70"/>
      <c r="B171" s="69"/>
      <c r="C171" s="69"/>
      <c r="D171" s="69"/>
      <c r="E171" s="69"/>
      <c r="F171" s="71"/>
      <c r="H171" s="69"/>
      <c r="I171" s="69"/>
      <c r="J171"/>
    </row>
    <row r="172" spans="1:10" ht="45.75" customHeight="1" x14ac:dyDescent="0.3">
      <c r="A172" s="72" t="s">
        <v>232</v>
      </c>
      <c r="B172" s="72"/>
      <c r="C172" s="72"/>
      <c r="D172" s="72"/>
      <c r="E172" s="69"/>
      <c r="F172" s="71"/>
      <c r="H172" s="69"/>
      <c r="I172" s="69"/>
      <c r="J172"/>
    </row>
    <row r="173" spans="1:10" ht="15.75" customHeight="1" x14ac:dyDescent="0.3">
      <c r="A173" s="104" t="s">
        <v>170</v>
      </c>
      <c r="B173" s="104"/>
      <c r="C173" s="104"/>
      <c r="D173" s="104"/>
      <c r="E173" s="73"/>
      <c r="H173" s="69"/>
      <c r="I173" s="69"/>
      <c r="J173"/>
    </row>
    <row r="174" spans="1:10" x14ac:dyDescent="0.25">
      <c r="A174" s="104"/>
      <c r="B174" s="104"/>
      <c r="C174" s="104"/>
      <c r="D174" s="104"/>
      <c r="E174" s="104"/>
      <c r="H174" s="5"/>
      <c r="I174" s="5"/>
    </row>
    <row r="175" spans="1:10" x14ac:dyDescent="0.25">
      <c r="C175" s="5"/>
      <c r="D175" s="5"/>
      <c r="E175" s="5"/>
      <c r="H175" s="5"/>
      <c r="I175" s="5"/>
    </row>
    <row r="176" spans="1:10" x14ac:dyDescent="0.25">
      <c r="A176" s="2"/>
      <c r="H176" s="5"/>
      <c r="I176" s="5"/>
    </row>
    <row r="177" spans="3:9" x14ac:dyDescent="0.25"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C187" s="5"/>
      <c r="D187" s="5"/>
      <c r="E187" s="5"/>
      <c r="F187" s="5"/>
      <c r="G187" s="5"/>
      <c r="H187" s="5"/>
      <c r="I187" s="5"/>
    </row>
    <row r="188" spans="3:9" x14ac:dyDescent="0.25">
      <c r="C188" s="5"/>
      <c r="D188" s="5"/>
      <c r="E188" s="5"/>
      <c r="F188" s="5"/>
      <c r="G188" s="5"/>
      <c r="H188" s="5"/>
      <c r="I188" s="5"/>
    </row>
    <row r="189" spans="3:9" x14ac:dyDescent="0.25">
      <c r="E189" s="5"/>
    </row>
  </sheetData>
  <mergeCells count="120">
    <mergeCell ref="A20:B20"/>
    <mergeCell ref="A22:B24"/>
    <mergeCell ref="C22:C24"/>
    <mergeCell ref="D22:D24"/>
    <mergeCell ref="E22:E24"/>
    <mergeCell ref="F22:I22"/>
    <mergeCell ref="I23:I24"/>
    <mergeCell ref="F3:I4"/>
    <mergeCell ref="A9:I9"/>
    <mergeCell ref="A10:I10"/>
    <mergeCell ref="B13:H13"/>
    <mergeCell ref="A15:F16"/>
    <mergeCell ref="A18:F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H1:I1"/>
    <mergeCell ref="I122:I123"/>
    <mergeCell ref="F163:G163"/>
    <mergeCell ref="F164:G164"/>
    <mergeCell ref="F166:G166"/>
    <mergeCell ref="F167:G167"/>
    <mergeCell ref="F2:I2"/>
    <mergeCell ref="A115:B115"/>
    <mergeCell ref="A116:B116"/>
    <mergeCell ref="A117:B117"/>
    <mergeCell ref="A119:H119"/>
    <mergeCell ref="A121:A123"/>
    <mergeCell ref="B121:B123"/>
    <mergeCell ref="C121:C123"/>
    <mergeCell ref="D121:D123"/>
    <mergeCell ref="E121:E123"/>
    <mergeCell ref="F121:I121"/>
    <mergeCell ref="A109:B109"/>
    <mergeCell ref="A110:B110"/>
    <mergeCell ref="A111:B111"/>
    <mergeCell ref="A112:B112"/>
    <mergeCell ref="A113:B113"/>
    <mergeCell ref="A114:B114"/>
    <mergeCell ref="A103:B103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8"/>
  <sheetViews>
    <sheetView zoomScale="85" zoomScaleNormal="85" zoomScaleSheetLayoutView="70" workbookViewId="0">
      <selection activeCell="I6" sqref="I6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253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251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252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9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9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9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9" ht="10.9" customHeight="1" x14ac:dyDescent="0.25">
      <c r="H20" s="57"/>
      <c r="I20" s="62"/>
    </row>
    <row r="21" spans="1:9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9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9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9" s="4" customFormat="1" ht="12.75" customHeight="1" x14ac:dyDescent="0.2">
      <c r="A24" s="149">
        <v>1</v>
      </c>
      <c r="B24" s="149"/>
      <c r="C24" s="101">
        <v>2</v>
      </c>
      <c r="D24" s="101">
        <v>3</v>
      </c>
      <c r="E24" s="101">
        <v>4</v>
      </c>
      <c r="F24" s="11">
        <v>5</v>
      </c>
      <c r="G24" s="11">
        <v>6</v>
      </c>
      <c r="H24" s="11">
        <v>7</v>
      </c>
      <c r="I24" s="101">
        <v>8</v>
      </c>
    </row>
    <row r="25" spans="1:9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378548.25+72228.32+21310+112204.45</f>
        <v>584291.02</v>
      </c>
      <c r="G25" s="13">
        <v>0</v>
      </c>
      <c r="H25" s="13">
        <v>0</v>
      </c>
      <c r="I25" s="13">
        <v>0</v>
      </c>
    </row>
    <row r="26" spans="1:9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F25+F27-F62+F111-F115</f>
        <v>7.7416189014911652E-9</v>
      </c>
      <c r="G26" s="43">
        <f>G25+G27-G62-G115</f>
        <v>-7.4505805969238281E-9</v>
      </c>
      <c r="H26" s="43">
        <f>H25+H27-H62-H115</f>
        <v>-7.4505805969238281E-9</v>
      </c>
      <c r="I26" s="43">
        <v>0</v>
      </c>
    </row>
    <row r="27" spans="1:9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F28+F29+F33+F34+F57+F59+F60</f>
        <v>56869672.88000001</v>
      </c>
      <c r="G27" s="42">
        <f>G28+G29+G33+G34+G57+G59+G60</f>
        <v>58498779.229999989</v>
      </c>
      <c r="H27" s="42">
        <f>H28+H29+H33+H34+H57+H59+H60</f>
        <v>58200158.54999999</v>
      </c>
      <c r="I27" s="42">
        <f>I28+I29+I33+I34+I57+I59+I60</f>
        <v>0</v>
      </c>
    </row>
    <row r="28" spans="1:9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9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F30+F32+F58</f>
        <v>43061609.830000006</v>
      </c>
      <c r="G29" s="42">
        <f>G30+G32+G58+G59</f>
        <v>42257280.909999996</v>
      </c>
      <c r="H29" s="42">
        <f>H30+H32+H58+H59</f>
        <v>42234767.389999993</v>
      </c>
      <c r="I29" s="42">
        <f>SUM(I30:I32)</f>
        <v>0</v>
      </c>
    </row>
    <row r="30" spans="1:9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v>42663578.740000002</v>
      </c>
      <c r="G30" s="52">
        <f>42353595.91-106100-170215</f>
        <v>42077280.909999996</v>
      </c>
      <c r="H30" s="52">
        <f>42353595.91-128613.52-170215</f>
        <v>42054767.389999993</v>
      </c>
      <c r="I30" s="13"/>
    </row>
    <row r="31" spans="1:9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</row>
    <row r="32" spans="1:9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398031.09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F35+F55+F56</f>
        <v>13796063.050000001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43">
        <f>SUM(F37:F54)</f>
        <v>13768871.800000001</v>
      </c>
      <c r="G35" s="43">
        <f>SUM(G37:G57)</f>
        <v>16230832.84</v>
      </c>
      <c r="H35" s="43">
        <f>SUM(H37:H54)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236</v>
      </c>
      <c r="B37" s="149"/>
      <c r="C37" s="19"/>
      <c r="D37" s="12"/>
      <c r="E37" s="11"/>
      <c r="F37" s="98">
        <f>150000+100134</f>
        <v>250134</v>
      </c>
      <c r="G37" s="20"/>
      <c r="H37" s="20"/>
      <c r="I37" s="13"/>
    </row>
    <row r="38" spans="1:9" s="46" customFormat="1" ht="49.5" customHeight="1" x14ac:dyDescent="0.2">
      <c r="A38" s="149" t="s">
        <v>249</v>
      </c>
      <c r="B38" s="149"/>
      <c r="C38" s="19"/>
      <c r="D38" s="12"/>
      <c r="E38" s="11"/>
      <c r="F38" s="98">
        <f>52050-52050</f>
        <v>0</v>
      </c>
      <c r="G38" s="20">
        <v>50000</v>
      </c>
      <c r="H38" s="20">
        <v>50000</v>
      </c>
      <c r="I38" s="13"/>
    </row>
    <row r="39" spans="1:9" s="46" customFormat="1" ht="29.45" customHeight="1" x14ac:dyDescent="0.2">
      <c r="A39" s="150" t="s">
        <v>248</v>
      </c>
      <c r="B39" s="151"/>
      <c r="C39" s="19"/>
      <c r="D39" s="12"/>
      <c r="E39" s="11"/>
      <c r="F39" s="98">
        <f>148173.29+41285.7</f>
        <v>189458.99</v>
      </c>
      <c r="G39" s="20"/>
      <c r="H39" s="20"/>
      <c r="I39" s="13"/>
    </row>
    <row r="40" spans="1:9" s="46" customFormat="1" ht="16.899999999999999" customHeight="1" x14ac:dyDescent="0.2">
      <c r="A40" s="149" t="s">
        <v>171</v>
      </c>
      <c r="B40" s="149"/>
      <c r="C40" s="19"/>
      <c r="D40" s="12"/>
      <c r="E40" s="11"/>
      <c r="F40" s="98">
        <v>1498868.94</v>
      </c>
      <c r="G40" s="20">
        <v>1500000</v>
      </c>
      <c r="H40" s="20">
        <v>1500000</v>
      </c>
      <c r="I40" s="13"/>
    </row>
    <row r="41" spans="1:9" s="46" customFormat="1" ht="54.75" customHeight="1" x14ac:dyDescent="0.2">
      <c r="A41" s="149" t="s">
        <v>250</v>
      </c>
      <c r="B41" s="149"/>
      <c r="C41" s="12"/>
      <c r="D41" s="12"/>
      <c r="E41" s="11"/>
      <c r="F41" s="99">
        <v>296735.08</v>
      </c>
      <c r="G41" s="84"/>
      <c r="H41" s="84"/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>
        <v>20500</v>
      </c>
      <c r="G42" s="84"/>
      <c r="H42" s="84"/>
      <c r="I42" s="13"/>
    </row>
    <row r="43" spans="1:9" s="46" customFormat="1" ht="54.75" customHeight="1" x14ac:dyDescent="0.2">
      <c r="A43" s="150" t="s">
        <v>238</v>
      </c>
      <c r="B43" s="151"/>
      <c r="C43" s="12"/>
      <c r="D43" s="12"/>
      <c r="E43" s="11"/>
      <c r="F43" s="99">
        <v>170000</v>
      </c>
      <c r="G43" s="84"/>
      <c r="H43" s="84"/>
      <c r="I43" s="13"/>
    </row>
    <row r="44" spans="1:9" s="46" customFormat="1" ht="29.45" customHeight="1" x14ac:dyDescent="0.2">
      <c r="A44" s="149" t="s">
        <v>175</v>
      </c>
      <c r="B44" s="149"/>
      <c r="C44" s="12"/>
      <c r="D44" s="12"/>
      <c r="E44" s="11"/>
      <c r="F44" s="99">
        <v>70350</v>
      </c>
      <c r="G44" s="84">
        <v>45350</v>
      </c>
      <c r="H44" s="84">
        <v>45350</v>
      </c>
      <c r="I44" s="13"/>
    </row>
    <row r="45" spans="1:9" s="46" customFormat="1" ht="43.15" customHeight="1" x14ac:dyDescent="0.2">
      <c r="A45" s="149" t="s">
        <v>176</v>
      </c>
      <c r="B45" s="149"/>
      <c r="C45" s="12"/>
      <c r="D45" s="12"/>
      <c r="E45" s="11"/>
      <c r="F45" s="99">
        <v>0</v>
      </c>
      <c r="G45" s="84">
        <v>25100</v>
      </c>
      <c r="H45" s="84">
        <v>22330.32</v>
      </c>
      <c r="I45" s="13"/>
    </row>
    <row r="46" spans="1:9" s="46" customFormat="1" ht="84" customHeight="1" x14ac:dyDescent="0.2">
      <c r="A46" s="147" t="s">
        <v>177</v>
      </c>
      <c r="B46" s="148"/>
      <c r="C46" s="12"/>
      <c r="D46" s="12"/>
      <c r="E46" s="11"/>
      <c r="F46" s="99">
        <v>0</v>
      </c>
      <c r="G46" s="84">
        <v>11600</v>
      </c>
      <c r="H46" s="84">
        <v>8036</v>
      </c>
      <c r="I46" s="13"/>
    </row>
    <row r="47" spans="1:9" s="46" customFormat="1" ht="58.5" customHeight="1" x14ac:dyDescent="0.2">
      <c r="A47" s="147" t="s">
        <v>244</v>
      </c>
      <c r="B47" s="148"/>
      <c r="C47" s="12"/>
      <c r="D47" s="12"/>
      <c r="E47" s="11"/>
      <c r="F47" s="99">
        <v>124690</v>
      </c>
      <c r="G47" s="84"/>
      <c r="H47" s="84"/>
      <c r="I47" s="13"/>
    </row>
    <row r="48" spans="1:9" s="46" customFormat="1" ht="60.75" customHeight="1" x14ac:dyDescent="0.2">
      <c r="A48" s="149" t="s">
        <v>178</v>
      </c>
      <c r="B48" s="149"/>
      <c r="C48" s="12"/>
      <c r="D48" s="12"/>
      <c r="E48" s="11"/>
      <c r="F48" s="99">
        <v>236850</v>
      </c>
      <c r="G48" s="84">
        <v>236850</v>
      </c>
      <c r="H48" s="84">
        <v>236850</v>
      </c>
      <c r="I48" s="13"/>
    </row>
    <row r="49" spans="1:11" s="46" customFormat="1" ht="45" customHeight="1" x14ac:dyDescent="0.2">
      <c r="A49" s="149" t="s">
        <v>192</v>
      </c>
      <c r="B49" s="149"/>
      <c r="C49" s="12"/>
      <c r="D49" s="47"/>
      <c r="E49" s="11"/>
      <c r="F49" s="99">
        <f>1313664.72-197109.92</f>
        <v>1116554.8</v>
      </c>
      <c r="G49" s="84">
        <v>1957200</v>
      </c>
      <c r="H49" s="84">
        <v>1957200</v>
      </c>
      <c r="I49" s="13"/>
    </row>
    <row r="50" spans="1:11" s="46" customFormat="1" ht="45" customHeight="1" x14ac:dyDescent="0.2">
      <c r="A50" s="150" t="s">
        <v>231</v>
      </c>
      <c r="B50" s="151"/>
      <c r="C50" s="12"/>
      <c r="D50" s="47"/>
      <c r="E50" s="11"/>
      <c r="F50" s="99">
        <f>44100+25000</f>
        <v>69100</v>
      </c>
      <c r="G50" s="84"/>
      <c r="H50" s="84"/>
      <c r="I50" s="13"/>
    </row>
    <row r="51" spans="1:11" s="46" customFormat="1" ht="55.9" customHeight="1" x14ac:dyDescent="0.2">
      <c r="A51" s="152" t="s">
        <v>201</v>
      </c>
      <c r="B51" s="153"/>
      <c r="C51" s="79"/>
      <c r="D51" s="80"/>
      <c r="E51" s="81"/>
      <c r="F51" s="100">
        <v>4520564.6500000004</v>
      </c>
      <c r="G51" s="84">
        <v>6686413.75</v>
      </c>
      <c r="H51" s="84">
        <v>6482395.7000000002</v>
      </c>
      <c r="I51" s="13"/>
      <c r="J51" s="97"/>
    </row>
    <row r="52" spans="1:11" s="46" customFormat="1" ht="54.6" customHeight="1" x14ac:dyDescent="0.2">
      <c r="A52" s="152" t="s">
        <v>202</v>
      </c>
      <c r="B52" s="153"/>
      <c r="C52" s="79"/>
      <c r="D52" s="80"/>
      <c r="E52" s="81"/>
      <c r="F52" s="100">
        <v>1427543.13</v>
      </c>
      <c r="G52" s="84">
        <v>1860220</v>
      </c>
      <c r="H52" s="84">
        <v>1802579.38</v>
      </c>
      <c r="I52" s="13"/>
    </row>
    <row r="53" spans="1:11" s="46" customFormat="1" ht="55.9" customHeight="1" x14ac:dyDescent="0.2">
      <c r="A53" s="152" t="s">
        <v>203</v>
      </c>
      <c r="B53" s="153"/>
      <c r="C53" s="79"/>
      <c r="D53" s="80"/>
      <c r="E53" s="81"/>
      <c r="F53" s="100">
        <v>183962.21</v>
      </c>
      <c r="G53" s="84">
        <v>264539.09000000003</v>
      </c>
      <c r="H53" s="84">
        <v>256424.28</v>
      </c>
      <c r="I53" s="13"/>
      <c r="J53" s="97"/>
    </row>
    <row r="54" spans="1:11" s="46" customFormat="1" ht="82.9" customHeight="1" x14ac:dyDescent="0.2">
      <c r="A54" s="154" t="s">
        <v>223</v>
      </c>
      <c r="B54" s="155"/>
      <c r="C54" s="79"/>
      <c r="D54" s="80"/>
      <c r="E54" s="81"/>
      <c r="F54" s="100">
        <v>3593560</v>
      </c>
      <c r="G54" s="84">
        <v>3593560</v>
      </c>
      <c r="H54" s="84">
        <v>3593560</v>
      </c>
      <c r="I54" s="13"/>
    </row>
    <row r="55" spans="1:11" s="46" customFormat="1" ht="15" customHeight="1" x14ac:dyDescent="0.2">
      <c r="A55" s="149" t="s">
        <v>180</v>
      </c>
      <c r="B55" s="149"/>
      <c r="C55" s="12" t="s">
        <v>51</v>
      </c>
      <c r="D55" s="12" t="s">
        <v>47</v>
      </c>
      <c r="E55" s="11"/>
      <c r="F55" s="13"/>
      <c r="G55" s="13"/>
      <c r="H55" s="13"/>
      <c r="I55" s="13"/>
    </row>
    <row r="56" spans="1:11" s="46" customFormat="1" ht="26.25" customHeight="1" x14ac:dyDescent="0.2">
      <c r="A56" s="147" t="s">
        <v>179</v>
      </c>
      <c r="B56" s="148"/>
      <c r="C56" s="12" t="s">
        <v>52</v>
      </c>
      <c r="D56" s="12" t="s">
        <v>47</v>
      </c>
      <c r="E56" s="11"/>
      <c r="F56" s="13">
        <v>27191.25</v>
      </c>
      <c r="G56" s="13"/>
      <c r="H56" s="13"/>
      <c r="I56" s="13"/>
    </row>
    <row r="57" spans="1:11" s="46" customFormat="1" ht="15" customHeight="1" x14ac:dyDescent="0.2">
      <c r="A57" s="149" t="s">
        <v>53</v>
      </c>
      <c r="B57" s="149"/>
      <c r="C57" s="12" t="s">
        <v>54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56</v>
      </c>
      <c r="B58" s="149"/>
      <c r="C58" s="12" t="s">
        <v>57</v>
      </c>
      <c r="D58" s="12" t="s">
        <v>55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58</v>
      </c>
      <c r="B59" s="149"/>
      <c r="C59" s="12" t="s">
        <v>59</v>
      </c>
      <c r="D59" s="12" t="s">
        <v>60</v>
      </c>
      <c r="E59" s="11"/>
      <c r="F59" s="13"/>
      <c r="G59" s="13"/>
      <c r="H59" s="13"/>
      <c r="I59" s="13"/>
    </row>
    <row r="60" spans="1:11" s="4" customFormat="1" ht="15" customHeight="1" x14ac:dyDescent="0.2">
      <c r="A60" s="149" t="s">
        <v>61</v>
      </c>
      <c r="B60" s="149"/>
      <c r="C60" s="12" t="s">
        <v>62</v>
      </c>
      <c r="D60" s="12" t="s">
        <v>25</v>
      </c>
      <c r="E60" s="11"/>
      <c r="F60" s="13"/>
      <c r="G60" s="13"/>
      <c r="H60" s="13"/>
      <c r="I60" s="13"/>
    </row>
    <row r="61" spans="1:11" s="4" customFormat="1" ht="38.450000000000003" customHeight="1" x14ac:dyDescent="0.2">
      <c r="A61" s="149" t="s">
        <v>63</v>
      </c>
      <c r="B61" s="149"/>
      <c r="C61" s="12" t="s">
        <v>64</v>
      </c>
      <c r="D61" s="12" t="s">
        <v>65</v>
      </c>
      <c r="E61" s="11"/>
      <c r="F61" s="13"/>
      <c r="G61" s="13"/>
      <c r="H61" s="13"/>
      <c r="I61" s="13" t="s">
        <v>25</v>
      </c>
    </row>
    <row r="62" spans="1:11" s="4" customFormat="1" ht="15" customHeight="1" x14ac:dyDescent="0.2">
      <c r="A62" s="146" t="s">
        <v>66</v>
      </c>
      <c r="B62" s="146"/>
      <c r="C62" s="15" t="s">
        <v>67</v>
      </c>
      <c r="D62" s="15" t="s">
        <v>25</v>
      </c>
      <c r="E62" s="16">
        <v>200</v>
      </c>
      <c r="F62" s="42">
        <f>F63+F73+F80+F84+F91+F93</f>
        <v>56981877.330000006</v>
      </c>
      <c r="G62" s="42">
        <f>G63+G73+G80+G84+G91+G93</f>
        <v>58498779.229999997</v>
      </c>
      <c r="H62" s="42">
        <f>H63+H73+H80+H84+H91+H93</f>
        <v>58200158.549999997</v>
      </c>
      <c r="I62" s="17"/>
    </row>
    <row r="63" spans="1:11" s="4" customFormat="1" ht="27" customHeight="1" x14ac:dyDescent="0.2">
      <c r="A63" s="126" t="s">
        <v>68</v>
      </c>
      <c r="B63" s="126"/>
      <c r="C63" s="21">
        <v>2100</v>
      </c>
      <c r="D63" s="15" t="s">
        <v>25</v>
      </c>
      <c r="E63" s="21"/>
      <c r="F63" s="44">
        <f>F64+F65+F66+F67+F68+F69+F71</f>
        <v>39182710.280000001</v>
      </c>
      <c r="G63" s="44">
        <f>G64+G65+G66+G67+G68+G69+G71</f>
        <v>39194949.539999999</v>
      </c>
      <c r="H63" s="44">
        <f>H64+H65+H66+H67+H68+H69+H71</f>
        <v>39194949.539999999</v>
      </c>
      <c r="I63" s="22" t="s">
        <v>25</v>
      </c>
    </row>
    <row r="64" spans="1:11" s="4" customFormat="1" ht="25.5" customHeight="1" x14ac:dyDescent="0.2">
      <c r="A64" s="126" t="s">
        <v>69</v>
      </c>
      <c r="B64" s="126"/>
      <c r="C64" s="21">
        <v>2110</v>
      </c>
      <c r="D64" s="21">
        <v>111</v>
      </c>
      <c r="E64" s="21"/>
      <c r="F64" s="22">
        <v>30091559.34</v>
      </c>
      <c r="G64" s="22">
        <f>82949.31+27221908.24+90000+76804.92+2760030.72-130733.49</f>
        <v>30100959.699999999</v>
      </c>
      <c r="H64" s="22">
        <f>82949.31+27221908.24+90000+76804.92+2760030.72-130733.49</f>
        <v>30100959.699999999</v>
      </c>
      <c r="I64" s="22" t="s">
        <v>25</v>
      </c>
      <c r="K64" s="90"/>
    </row>
    <row r="65" spans="1:11" s="4" customFormat="1" ht="15" customHeight="1" x14ac:dyDescent="0.2">
      <c r="A65" s="126" t="s">
        <v>70</v>
      </c>
      <c r="B65" s="126"/>
      <c r="C65" s="21">
        <v>2120</v>
      </c>
      <c r="D65" s="21">
        <v>112</v>
      </c>
      <c r="E65" s="21"/>
      <c r="F65" s="22">
        <v>3500</v>
      </c>
      <c r="G65" s="22">
        <v>3500</v>
      </c>
      <c r="H65" s="22">
        <v>3500</v>
      </c>
      <c r="I65" s="22" t="s">
        <v>25</v>
      </c>
      <c r="K65" s="90"/>
    </row>
    <row r="66" spans="1:11" s="4" customFormat="1" ht="28.5" customHeight="1" x14ac:dyDescent="0.2">
      <c r="A66" s="126" t="s">
        <v>71</v>
      </c>
      <c r="B66" s="126"/>
      <c r="C66" s="21">
        <v>2130</v>
      </c>
      <c r="D66" s="21">
        <v>113</v>
      </c>
      <c r="E66" s="21"/>
      <c r="F66" s="22"/>
      <c r="G66" s="22"/>
      <c r="H66" s="22"/>
      <c r="I66" s="22" t="s">
        <v>25</v>
      </c>
      <c r="K66" s="90"/>
    </row>
    <row r="67" spans="1:11" s="4" customFormat="1" ht="28.9" customHeight="1" x14ac:dyDescent="0.2">
      <c r="A67" s="126" t="s">
        <v>72</v>
      </c>
      <c r="B67" s="126"/>
      <c r="C67" s="21">
        <v>2140</v>
      </c>
      <c r="D67" s="21">
        <v>119</v>
      </c>
      <c r="E67" s="21"/>
      <c r="F67" s="22">
        <v>9087650.9399999995</v>
      </c>
      <c r="G67" s="22">
        <f>25050.69+8248196.3+23195.08+833529.28-39481.51</f>
        <v>9090489.8399999999</v>
      </c>
      <c r="H67" s="22">
        <f>25050.69+8248196.3+23195.08+833529.28-39481.51</f>
        <v>9090489.8399999999</v>
      </c>
      <c r="I67" s="22" t="s">
        <v>25</v>
      </c>
    </row>
    <row r="68" spans="1:11" s="4" customFormat="1" ht="16.899999999999999" customHeight="1" x14ac:dyDescent="0.2">
      <c r="A68" s="126" t="s">
        <v>73</v>
      </c>
      <c r="B68" s="126"/>
      <c r="C68" s="21">
        <v>2150</v>
      </c>
      <c r="D68" s="21">
        <v>131</v>
      </c>
      <c r="E68" s="21"/>
      <c r="F68" s="22"/>
      <c r="G68" s="22"/>
      <c r="H68" s="22"/>
      <c r="I68" s="22" t="s">
        <v>25</v>
      </c>
    </row>
    <row r="69" spans="1:11" s="4" customFormat="1" ht="27" customHeight="1" x14ac:dyDescent="0.2">
      <c r="A69" s="126" t="s">
        <v>74</v>
      </c>
      <c r="B69" s="126"/>
      <c r="C69" s="21">
        <v>2160</v>
      </c>
      <c r="D69" s="21">
        <v>133</v>
      </c>
      <c r="E69" s="21"/>
      <c r="F69" s="22"/>
      <c r="G69" s="22"/>
      <c r="H69" s="22"/>
      <c r="I69" s="22" t="s">
        <v>25</v>
      </c>
    </row>
    <row r="70" spans="1:11" s="4" customFormat="1" ht="15.75" customHeight="1" x14ac:dyDescent="0.2">
      <c r="A70" s="126" t="s">
        <v>75</v>
      </c>
      <c r="B70" s="126"/>
      <c r="C70" s="21">
        <v>2170</v>
      </c>
      <c r="D70" s="21">
        <v>134</v>
      </c>
      <c r="E70" s="21"/>
      <c r="F70" s="22"/>
      <c r="G70" s="22"/>
      <c r="H70" s="22"/>
      <c r="I70" s="22"/>
    </row>
    <row r="71" spans="1:11" s="4" customFormat="1" ht="30.75" customHeight="1" x14ac:dyDescent="0.2">
      <c r="A71" s="126" t="s">
        <v>76</v>
      </c>
      <c r="B71" s="126"/>
      <c r="C71" s="21">
        <v>2180</v>
      </c>
      <c r="D71" s="21">
        <v>139</v>
      </c>
      <c r="E71" s="21"/>
      <c r="F71" s="44">
        <f>F72</f>
        <v>0</v>
      </c>
      <c r="G71" s="44">
        <f>G72</f>
        <v>0</v>
      </c>
      <c r="H71" s="44">
        <f>H72</f>
        <v>0</v>
      </c>
      <c r="I71" s="22" t="s">
        <v>25</v>
      </c>
    </row>
    <row r="72" spans="1:11" s="4" customFormat="1" ht="25.5" customHeight="1" x14ac:dyDescent="0.2">
      <c r="A72" s="126" t="s">
        <v>77</v>
      </c>
      <c r="B72" s="126"/>
      <c r="C72" s="21">
        <v>2181</v>
      </c>
      <c r="D72" s="21">
        <v>139</v>
      </c>
      <c r="E72" s="21"/>
      <c r="F72" s="22"/>
      <c r="G72" s="22"/>
      <c r="H72" s="22"/>
      <c r="I72" s="22" t="s">
        <v>25</v>
      </c>
    </row>
    <row r="73" spans="1:11" s="76" customFormat="1" ht="15" customHeight="1" x14ac:dyDescent="0.2">
      <c r="A73" s="141" t="s">
        <v>78</v>
      </c>
      <c r="B73" s="141"/>
      <c r="C73" s="25">
        <v>2200</v>
      </c>
      <c r="D73" s="25">
        <v>300</v>
      </c>
      <c r="E73" s="25"/>
      <c r="F73" s="45">
        <f>F74+F77+F78+F79</f>
        <v>0</v>
      </c>
      <c r="G73" s="45">
        <f>G74+G77+G78+G79</f>
        <v>0</v>
      </c>
      <c r="H73" s="45">
        <f>H74+H77+H78+H79</f>
        <v>0</v>
      </c>
      <c r="I73" s="26" t="s">
        <v>25</v>
      </c>
    </row>
    <row r="74" spans="1:11" s="4" customFormat="1" ht="24.6" customHeight="1" x14ac:dyDescent="0.2">
      <c r="A74" s="126" t="s">
        <v>79</v>
      </c>
      <c r="B74" s="126"/>
      <c r="C74" s="21">
        <v>2210</v>
      </c>
      <c r="D74" s="21">
        <v>320</v>
      </c>
      <c r="E74" s="21"/>
      <c r="F74" s="44">
        <f>SUM(F75:F76)</f>
        <v>0</v>
      </c>
      <c r="G74" s="44">
        <f>SUM(G75:G75)</f>
        <v>0</v>
      </c>
      <c r="H74" s="44">
        <f>SUM(H75:H75)</f>
        <v>0</v>
      </c>
      <c r="I74" s="22" t="s">
        <v>25</v>
      </c>
    </row>
    <row r="75" spans="1:11" s="4" customFormat="1" ht="36.6" customHeight="1" x14ac:dyDescent="0.2">
      <c r="A75" s="126" t="s">
        <v>80</v>
      </c>
      <c r="B75" s="126"/>
      <c r="C75" s="21">
        <v>2211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15.6" customHeight="1" x14ac:dyDescent="0.2">
      <c r="A76" s="139" t="s">
        <v>181</v>
      </c>
      <c r="B76" s="140"/>
      <c r="C76" s="21">
        <v>2212</v>
      </c>
      <c r="D76" s="21">
        <v>321</v>
      </c>
      <c r="E76" s="21"/>
      <c r="F76" s="22"/>
      <c r="G76" s="22"/>
      <c r="H76" s="22"/>
      <c r="I76" s="22" t="s">
        <v>25</v>
      </c>
    </row>
    <row r="77" spans="1:11" s="4" customFormat="1" ht="25.9" customHeight="1" x14ac:dyDescent="0.2">
      <c r="A77" s="126" t="s">
        <v>81</v>
      </c>
      <c r="B77" s="126"/>
      <c r="C77" s="21">
        <v>2220</v>
      </c>
      <c r="D77" s="21">
        <v>340</v>
      </c>
      <c r="E77" s="21"/>
      <c r="F77" s="22"/>
      <c r="G77" s="22"/>
      <c r="H77" s="22"/>
      <c r="I77" s="22" t="s">
        <v>25</v>
      </c>
    </row>
    <row r="78" spans="1:11" s="4" customFormat="1" ht="39" customHeight="1" x14ac:dyDescent="0.2">
      <c r="A78" s="126" t="s">
        <v>82</v>
      </c>
      <c r="B78" s="126"/>
      <c r="C78" s="21">
        <v>2230</v>
      </c>
      <c r="D78" s="21">
        <v>350</v>
      </c>
      <c r="E78" s="21"/>
      <c r="F78" s="22"/>
      <c r="G78" s="22"/>
      <c r="H78" s="22"/>
      <c r="I78" s="22" t="s">
        <v>25</v>
      </c>
    </row>
    <row r="79" spans="1:11" s="4" customFormat="1" ht="16.149999999999999" customHeight="1" x14ac:dyDescent="0.2">
      <c r="A79" s="126" t="s">
        <v>83</v>
      </c>
      <c r="B79" s="126"/>
      <c r="C79" s="21">
        <v>2240</v>
      </c>
      <c r="D79" s="21">
        <v>360</v>
      </c>
      <c r="E79" s="21"/>
      <c r="F79" s="22"/>
      <c r="G79" s="22"/>
      <c r="H79" s="22"/>
      <c r="I79" s="22" t="s">
        <v>25</v>
      </c>
    </row>
    <row r="80" spans="1:11" s="76" customFormat="1" ht="15" customHeight="1" x14ac:dyDescent="0.2">
      <c r="A80" s="141" t="s">
        <v>84</v>
      </c>
      <c r="B80" s="141"/>
      <c r="C80" s="25">
        <v>2300</v>
      </c>
      <c r="D80" s="25">
        <v>850</v>
      </c>
      <c r="E80" s="25"/>
      <c r="F80" s="45">
        <f>SUM(F81:F83)</f>
        <v>102009.52</v>
      </c>
      <c r="G80" s="45">
        <f>SUM(G81:G83)</f>
        <v>100225</v>
      </c>
      <c r="H80" s="45">
        <f>SUM(H81:H83)</f>
        <v>100225</v>
      </c>
      <c r="I80" s="26" t="s">
        <v>25</v>
      </c>
    </row>
    <row r="81" spans="1:9" s="4" customFormat="1" ht="24" customHeight="1" x14ac:dyDescent="0.2">
      <c r="A81" s="126" t="s">
        <v>85</v>
      </c>
      <c r="B81" s="126"/>
      <c r="C81" s="21">
        <v>2310</v>
      </c>
      <c r="D81" s="21">
        <v>851</v>
      </c>
      <c r="E81" s="21"/>
      <c r="F81" s="22">
        <v>84040</v>
      </c>
      <c r="G81" s="22">
        <v>87400</v>
      </c>
      <c r="H81" s="22">
        <v>87400</v>
      </c>
      <c r="I81" s="22" t="s">
        <v>25</v>
      </c>
    </row>
    <row r="82" spans="1:9" s="4" customFormat="1" ht="30" customHeight="1" x14ac:dyDescent="0.2">
      <c r="A82" s="126" t="s">
        <v>86</v>
      </c>
      <c r="B82" s="126"/>
      <c r="C82" s="21">
        <v>2320</v>
      </c>
      <c r="D82" s="21">
        <v>852</v>
      </c>
      <c r="E82" s="21"/>
      <c r="F82" s="22">
        <v>0</v>
      </c>
      <c r="G82" s="22"/>
      <c r="H82" s="22"/>
      <c r="I82" s="22" t="s">
        <v>25</v>
      </c>
    </row>
    <row r="83" spans="1:9" s="4" customFormat="1" ht="13.5" customHeight="1" x14ac:dyDescent="0.2">
      <c r="A83" s="126" t="s">
        <v>87</v>
      </c>
      <c r="B83" s="126"/>
      <c r="C83" s="21">
        <v>2330</v>
      </c>
      <c r="D83" s="21">
        <v>853</v>
      </c>
      <c r="E83" s="21"/>
      <c r="F83" s="22">
        <v>17969.52</v>
      </c>
      <c r="G83" s="22">
        <v>12825</v>
      </c>
      <c r="H83" s="22">
        <v>12825</v>
      </c>
      <c r="I83" s="22" t="s">
        <v>25</v>
      </c>
    </row>
    <row r="84" spans="1:9" s="4" customFormat="1" ht="13.5" customHeight="1" x14ac:dyDescent="0.2">
      <c r="A84" s="126" t="s">
        <v>88</v>
      </c>
      <c r="B84" s="126"/>
      <c r="C84" s="21">
        <v>2400</v>
      </c>
      <c r="D84" s="21" t="s">
        <v>25</v>
      </c>
      <c r="E84" s="21"/>
      <c r="F84" s="44">
        <f>SUM(F85:F87)</f>
        <v>0</v>
      </c>
      <c r="G84" s="44">
        <f>SUM(G85:G87)</f>
        <v>0</v>
      </c>
      <c r="H84" s="44">
        <f>SUM(H85:H87)</f>
        <v>0</v>
      </c>
      <c r="I84" s="22" t="s">
        <v>25</v>
      </c>
    </row>
    <row r="85" spans="1:9" s="4" customFormat="1" ht="21.6" customHeight="1" x14ac:dyDescent="0.2">
      <c r="A85" s="126" t="s">
        <v>89</v>
      </c>
      <c r="B85" s="126"/>
      <c r="C85" s="21">
        <v>2410</v>
      </c>
      <c r="D85" s="21">
        <v>613</v>
      </c>
      <c r="E85" s="21"/>
      <c r="F85" s="22"/>
      <c r="G85" s="22"/>
      <c r="H85" s="22"/>
      <c r="I85" s="22" t="s">
        <v>25</v>
      </c>
    </row>
    <row r="86" spans="1:9" s="4" customFormat="1" ht="15" customHeight="1" x14ac:dyDescent="0.2">
      <c r="A86" s="126" t="s">
        <v>90</v>
      </c>
      <c r="B86" s="126"/>
      <c r="C86" s="21">
        <v>2420</v>
      </c>
      <c r="D86" s="21">
        <v>623</v>
      </c>
      <c r="E86" s="21"/>
      <c r="F86" s="22"/>
      <c r="G86" s="22"/>
      <c r="H86" s="22"/>
      <c r="I86" s="22" t="s">
        <v>25</v>
      </c>
    </row>
    <row r="87" spans="1:9" s="4" customFormat="1" ht="30" customHeight="1" x14ac:dyDescent="0.2">
      <c r="A87" s="126" t="s">
        <v>91</v>
      </c>
      <c r="B87" s="126"/>
      <c r="C87" s="21">
        <v>2430</v>
      </c>
      <c r="D87" s="21">
        <v>634</v>
      </c>
      <c r="E87" s="21"/>
      <c r="F87" s="22"/>
      <c r="G87" s="22"/>
      <c r="H87" s="22"/>
      <c r="I87" s="22" t="s">
        <v>25</v>
      </c>
    </row>
    <row r="88" spans="1:9" s="4" customFormat="1" ht="16.899999999999999" customHeight="1" x14ac:dyDescent="0.2">
      <c r="A88" s="139" t="s">
        <v>92</v>
      </c>
      <c r="B88" s="140"/>
      <c r="C88" s="21">
        <v>2440</v>
      </c>
      <c r="D88" s="21">
        <v>810</v>
      </c>
      <c r="E88" s="21"/>
      <c r="F88" s="22"/>
      <c r="G88" s="22"/>
      <c r="H88" s="22"/>
      <c r="I88" s="22"/>
    </row>
    <row r="89" spans="1:9" s="4" customFormat="1" ht="16.899999999999999" customHeight="1" x14ac:dyDescent="0.2">
      <c r="A89" s="139" t="s">
        <v>93</v>
      </c>
      <c r="B89" s="140"/>
      <c r="C89" s="21">
        <v>2450</v>
      </c>
      <c r="D89" s="21">
        <v>862</v>
      </c>
      <c r="E89" s="21"/>
      <c r="F89" s="22"/>
      <c r="G89" s="22"/>
      <c r="H89" s="22"/>
      <c r="I89" s="22"/>
    </row>
    <row r="90" spans="1:9" s="4" customFormat="1" ht="30.75" customHeight="1" x14ac:dyDescent="0.2">
      <c r="A90" s="139" t="s">
        <v>94</v>
      </c>
      <c r="B90" s="140"/>
      <c r="C90" s="21">
        <v>2460</v>
      </c>
      <c r="D90" s="21">
        <v>863</v>
      </c>
      <c r="E90" s="21"/>
      <c r="F90" s="22"/>
      <c r="G90" s="22"/>
      <c r="H90" s="22"/>
      <c r="I90" s="22"/>
    </row>
    <row r="91" spans="1:9" s="4" customFormat="1" ht="15" customHeight="1" x14ac:dyDescent="0.2">
      <c r="A91" s="126" t="s">
        <v>95</v>
      </c>
      <c r="B91" s="126"/>
      <c r="C91" s="21">
        <v>2500</v>
      </c>
      <c r="D91" s="21" t="s">
        <v>25</v>
      </c>
      <c r="E91" s="21"/>
      <c r="F91" s="44">
        <f>F92</f>
        <v>0</v>
      </c>
      <c r="G91" s="44">
        <f>G92</f>
        <v>0</v>
      </c>
      <c r="H91" s="44">
        <f>H92</f>
        <v>0</v>
      </c>
      <c r="I91" s="22" t="s">
        <v>25</v>
      </c>
    </row>
    <row r="92" spans="1:9" s="4" customFormat="1" ht="31.5" customHeight="1" x14ac:dyDescent="0.2">
      <c r="A92" s="126" t="s">
        <v>96</v>
      </c>
      <c r="B92" s="126"/>
      <c r="C92" s="21">
        <v>2520</v>
      </c>
      <c r="D92" s="21">
        <v>831</v>
      </c>
      <c r="E92" s="21"/>
      <c r="F92" s="22"/>
      <c r="G92" s="22"/>
      <c r="H92" s="22"/>
      <c r="I92" s="22" t="s">
        <v>25</v>
      </c>
    </row>
    <row r="93" spans="1:9" s="76" customFormat="1" ht="15" customHeight="1" x14ac:dyDescent="0.2">
      <c r="A93" s="141" t="s">
        <v>97</v>
      </c>
      <c r="B93" s="141"/>
      <c r="C93" s="25">
        <v>2600</v>
      </c>
      <c r="D93" s="25" t="s">
        <v>25</v>
      </c>
      <c r="E93" s="25"/>
      <c r="F93" s="45">
        <f>F94+F95+F96+F108+F105</f>
        <v>17697157.530000001</v>
      </c>
      <c r="G93" s="45">
        <f>G94+G95+G96+G108+G105</f>
        <v>19203604.689999998</v>
      </c>
      <c r="H93" s="45">
        <f>H94+H95+H96+H108+H105</f>
        <v>18904984.009999998</v>
      </c>
      <c r="I93" s="26"/>
    </row>
    <row r="94" spans="1:9" s="4" customFormat="1" ht="30" customHeight="1" x14ac:dyDescent="0.2">
      <c r="A94" s="126" t="s">
        <v>98</v>
      </c>
      <c r="B94" s="126"/>
      <c r="C94" s="21">
        <v>2610</v>
      </c>
      <c r="D94" s="21">
        <v>241</v>
      </c>
      <c r="E94" s="21"/>
      <c r="F94" s="22"/>
      <c r="G94" s="22"/>
      <c r="H94" s="22"/>
      <c r="I94" s="22"/>
    </row>
    <row r="95" spans="1:9" s="4" customFormat="1" ht="27.75" customHeight="1" x14ac:dyDescent="0.2">
      <c r="A95" s="126" t="s">
        <v>99</v>
      </c>
      <c r="B95" s="126"/>
      <c r="C95" s="21">
        <v>2630</v>
      </c>
      <c r="D95" s="21">
        <v>243</v>
      </c>
      <c r="E95" s="21"/>
      <c r="F95" s="22"/>
      <c r="G95" s="22"/>
      <c r="H95" s="22"/>
      <c r="I95" s="22"/>
    </row>
    <row r="96" spans="1:9" s="76" customFormat="1" ht="15" customHeight="1" x14ac:dyDescent="0.2">
      <c r="A96" s="141" t="s">
        <v>100</v>
      </c>
      <c r="B96" s="141"/>
      <c r="C96" s="25">
        <v>2640</v>
      </c>
      <c r="D96" s="25">
        <v>244</v>
      </c>
      <c r="E96" s="25"/>
      <c r="F96" s="45">
        <f>SUM(F97:F104)</f>
        <v>15080932.32</v>
      </c>
      <c r="G96" s="45">
        <f>SUM(G97:G103)</f>
        <v>16852416.689999998</v>
      </c>
      <c r="H96" s="45">
        <f>SUM(H97:H103)</f>
        <v>16553796.009999998</v>
      </c>
      <c r="I96" s="26"/>
    </row>
    <row r="97" spans="1:9" s="4" customFormat="1" ht="14.45" customHeight="1" x14ac:dyDescent="0.2">
      <c r="A97" s="144" t="s">
        <v>101</v>
      </c>
      <c r="B97" s="145"/>
      <c r="C97" s="21"/>
      <c r="D97" s="23"/>
      <c r="E97" s="21"/>
      <c r="F97" s="22"/>
      <c r="G97" s="22"/>
      <c r="H97" s="22"/>
      <c r="I97" s="22"/>
    </row>
    <row r="98" spans="1:9" s="4" customFormat="1" ht="16.149999999999999" customHeight="1" x14ac:dyDescent="0.2">
      <c r="A98" s="126" t="s">
        <v>102</v>
      </c>
      <c r="B98" s="126"/>
      <c r="C98" s="21">
        <v>2641</v>
      </c>
      <c r="D98" s="23" t="s">
        <v>103</v>
      </c>
      <c r="E98" s="21"/>
      <c r="F98" s="22">
        <v>572288.01</v>
      </c>
      <c r="G98" s="22">
        <v>234490.45</v>
      </c>
      <c r="H98" s="22">
        <v>234490.45</v>
      </c>
      <c r="I98" s="22"/>
    </row>
    <row r="99" spans="1:9" s="4" customFormat="1" ht="13.15" customHeight="1" x14ac:dyDescent="0.2">
      <c r="A99" s="126" t="s">
        <v>104</v>
      </c>
      <c r="B99" s="126"/>
      <c r="C99" s="21">
        <v>2642</v>
      </c>
      <c r="D99" s="23" t="s">
        <v>103</v>
      </c>
      <c r="E99" s="21"/>
      <c r="F99" s="22">
        <v>337858.02</v>
      </c>
      <c r="G99" s="22">
        <v>290000</v>
      </c>
      <c r="H99" s="22">
        <v>290000</v>
      </c>
      <c r="I99" s="22"/>
    </row>
    <row r="100" spans="1:9" s="4" customFormat="1" ht="15" customHeight="1" x14ac:dyDescent="0.2">
      <c r="A100" s="144" t="s">
        <v>105</v>
      </c>
      <c r="B100" s="145"/>
      <c r="C100" s="24">
        <v>2643</v>
      </c>
      <c r="D100" s="23" t="s">
        <v>103</v>
      </c>
      <c r="E100" s="21"/>
      <c r="F100" s="22">
        <v>648666.81000000006</v>
      </c>
      <c r="G100" s="22">
        <f>273209.72+50000</f>
        <v>323209.71999999997</v>
      </c>
      <c r="H100" s="22">
        <f>273209.72+50000</f>
        <v>323209.71999999997</v>
      </c>
      <c r="I100" s="22"/>
    </row>
    <row r="101" spans="1:9" s="4" customFormat="1" ht="14.45" customHeight="1" x14ac:dyDescent="0.2">
      <c r="A101" s="126" t="s">
        <v>106</v>
      </c>
      <c r="B101" s="126"/>
      <c r="C101" s="21">
        <v>2644</v>
      </c>
      <c r="D101" s="23" t="s">
        <v>103</v>
      </c>
      <c r="E101" s="21"/>
      <c r="F101" s="22">
        <v>10072919.039999999</v>
      </c>
      <c r="G101" s="22">
        <f>535232.88+1799245.32+205000+8792949.77+45350+25100+11600+236850+18223.07</f>
        <v>11669551.039999999</v>
      </c>
      <c r="H101" s="22">
        <f>535232.88+1799245.32+205000+45350+22330.32+8036+236850+8541399.36</f>
        <v>11393443.879999999</v>
      </c>
      <c r="I101" s="22"/>
    </row>
    <row r="102" spans="1:9" s="4" customFormat="1" ht="16.149999999999999" customHeight="1" x14ac:dyDescent="0.2">
      <c r="A102" s="126" t="s">
        <v>107</v>
      </c>
      <c r="B102" s="126"/>
      <c r="C102" s="24">
        <v>2645</v>
      </c>
      <c r="D102" s="23" t="s">
        <v>103</v>
      </c>
      <c r="E102" s="21"/>
      <c r="F102" s="22">
        <v>2703092.23</v>
      </c>
      <c r="G102" s="22">
        <f>1857200+1500000</f>
        <v>3357200</v>
      </c>
      <c r="H102" s="22">
        <f>1857200+1500000</f>
        <v>3357200</v>
      </c>
      <c r="I102" s="22"/>
    </row>
    <row r="103" spans="1:9" s="4" customFormat="1" ht="13.9" customHeight="1" x14ac:dyDescent="0.2">
      <c r="A103" s="126" t="s">
        <v>108</v>
      </c>
      <c r="B103" s="126"/>
      <c r="C103" s="24">
        <v>2646</v>
      </c>
      <c r="D103" s="23" t="s">
        <v>103</v>
      </c>
      <c r="E103" s="21"/>
      <c r="F103" s="22">
        <v>746108.21</v>
      </c>
      <c r="G103" s="22">
        <f>20665.48+62000+654400+300000+22000+25000-106100</f>
        <v>977965.48</v>
      </c>
      <c r="H103" s="22">
        <f>20665.48+62000+654400+300000+22000+25000-128613.52</f>
        <v>955451.96</v>
      </c>
      <c r="I103" s="22"/>
    </row>
    <row r="104" spans="1:9" s="4" customFormat="1" ht="10.15" customHeight="1" x14ac:dyDescent="0.2">
      <c r="A104" s="139"/>
      <c r="B104" s="140"/>
      <c r="C104" s="24"/>
      <c r="D104" s="23"/>
      <c r="E104" s="21"/>
      <c r="F104" s="22"/>
      <c r="G104" s="22"/>
      <c r="H104" s="22"/>
      <c r="I104" s="22"/>
    </row>
    <row r="105" spans="1:9" s="76" customFormat="1" ht="17.45" customHeight="1" x14ac:dyDescent="0.2">
      <c r="A105" s="142" t="s">
        <v>211</v>
      </c>
      <c r="B105" s="143" t="s">
        <v>211</v>
      </c>
      <c r="C105" s="74">
        <v>2660</v>
      </c>
      <c r="D105" s="75" t="s">
        <v>212</v>
      </c>
      <c r="E105" s="25"/>
      <c r="F105" s="77">
        <f>F107</f>
        <v>2616225.21</v>
      </c>
      <c r="G105" s="77">
        <f>G107</f>
        <v>2351188</v>
      </c>
      <c r="H105" s="77">
        <f>H107</f>
        <v>2351188</v>
      </c>
      <c r="I105" s="26"/>
    </row>
    <row r="106" spans="1:9" s="4" customFormat="1" ht="17.45" customHeight="1" x14ac:dyDescent="0.2">
      <c r="A106" s="144" t="s">
        <v>50</v>
      </c>
      <c r="B106" s="145" t="s">
        <v>50</v>
      </c>
      <c r="C106" s="24"/>
      <c r="D106" s="23"/>
      <c r="E106" s="21"/>
      <c r="F106" s="22"/>
      <c r="G106" s="22"/>
      <c r="H106" s="22"/>
      <c r="I106" s="22"/>
    </row>
    <row r="107" spans="1:9" s="4" customFormat="1" ht="17.45" customHeight="1" x14ac:dyDescent="0.2">
      <c r="A107" s="144" t="s">
        <v>104</v>
      </c>
      <c r="B107" s="145" t="s">
        <v>104</v>
      </c>
      <c r="C107" s="24">
        <v>2661</v>
      </c>
      <c r="D107" s="23" t="s">
        <v>212</v>
      </c>
      <c r="E107" s="21"/>
      <c r="F107" s="22">
        <v>2616225.21</v>
      </c>
      <c r="G107" s="22">
        <v>2351188</v>
      </c>
      <c r="H107" s="22">
        <v>2351188</v>
      </c>
      <c r="I107" s="22"/>
    </row>
    <row r="108" spans="1:9" s="4" customFormat="1" ht="21.6" customHeight="1" x14ac:dyDescent="0.2">
      <c r="A108" s="139" t="s">
        <v>109</v>
      </c>
      <c r="B108" s="140"/>
      <c r="C108" s="21">
        <v>2650</v>
      </c>
      <c r="D108" s="21">
        <v>400</v>
      </c>
      <c r="E108" s="21"/>
      <c r="F108" s="22">
        <f>F109+F110</f>
        <v>0</v>
      </c>
      <c r="G108" s="22">
        <f>G109+G110</f>
        <v>0</v>
      </c>
      <c r="H108" s="22">
        <f>H109+H110</f>
        <v>0</v>
      </c>
      <c r="I108" s="22">
        <f>I109+I110</f>
        <v>0</v>
      </c>
    </row>
    <row r="109" spans="1:9" s="4" customFormat="1" ht="37.9" customHeight="1" x14ac:dyDescent="0.2">
      <c r="A109" s="139" t="s">
        <v>110</v>
      </c>
      <c r="B109" s="140"/>
      <c r="C109" s="21">
        <v>2651</v>
      </c>
      <c r="D109" s="21">
        <v>406</v>
      </c>
      <c r="E109" s="21"/>
      <c r="F109" s="22"/>
      <c r="G109" s="22"/>
      <c r="H109" s="22"/>
      <c r="I109" s="22"/>
    </row>
    <row r="110" spans="1:9" s="4" customFormat="1" ht="30" customHeight="1" x14ac:dyDescent="0.2">
      <c r="A110" s="139" t="s">
        <v>111</v>
      </c>
      <c r="B110" s="140"/>
      <c r="C110" s="21">
        <v>2652</v>
      </c>
      <c r="D110" s="21">
        <v>407</v>
      </c>
      <c r="E110" s="21"/>
      <c r="F110" s="22"/>
      <c r="G110" s="22"/>
      <c r="H110" s="22"/>
      <c r="I110" s="22"/>
    </row>
    <row r="111" spans="1:9" s="4" customFormat="1" ht="15" customHeight="1" x14ac:dyDescent="0.2">
      <c r="A111" s="141" t="s">
        <v>112</v>
      </c>
      <c r="B111" s="141"/>
      <c r="C111" s="25">
        <v>3000</v>
      </c>
      <c r="D111" s="25">
        <v>100</v>
      </c>
      <c r="E111" s="21"/>
      <c r="F111" s="45">
        <f>SUM(F112:F114)</f>
        <v>0</v>
      </c>
      <c r="G111" s="45">
        <f>SUM(G112:G114)</f>
        <v>0</v>
      </c>
      <c r="H111" s="45">
        <f>SUM(H112:H114)</f>
        <v>0</v>
      </c>
      <c r="I111" s="26" t="s">
        <v>25</v>
      </c>
    </row>
    <row r="112" spans="1:9" s="4" customFormat="1" ht="26.25" customHeight="1" x14ac:dyDescent="0.2">
      <c r="A112" s="126" t="s">
        <v>113</v>
      </c>
      <c r="B112" s="126"/>
      <c r="C112" s="21">
        <v>3010</v>
      </c>
      <c r="D112" s="21"/>
      <c r="E112" s="25"/>
      <c r="F112" s="22"/>
      <c r="G112" s="22"/>
      <c r="H112" s="22"/>
      <c r="I112" s="22" t="s">
        <v>25</v>
      </c>
    </row>
    <row r="113" spans="1:9" s="4" customFormat="1" ht="15" customHeight="1" x14ac:dyDescent="0.2">
      <c r="A113" s="126" t="s">
        <v>114</v>
      </c>
      <c r="B113" s="126"/>
      <c r="C113" s="21">
        <v>3020</v>
      </c>
      <c r="D113" s="21"/>
      <c r="E113" s="21"/>
      <c r="F113" s="22"/>
      <c r="G113" s="22"/>
      <c r="H113" s="22"/>
      <c r="I113" s="22" t="s">
        <v>25</v>
      </c>
    </row>
    <row r="114" spans="1:9" s="4" customFormat="1" ht="15" customHeight="1" x14ac:dyDescent="0.2">
      <c r="A114" s="126" t="s">
        <v>115</v>
      </c>
      <c r="B114" s="126"/>
      <c r="C114" s="21">
        <v>3030</v>
      </c>
      <c r="D114" s="21"/>
      <c r="E114" s="21"/>
      <c r="F114" s="22"/>
      <c r="G114" s="22"/>
      <c r="H114" s="22"/>
      <c r="I114" s="22" t="s">
        <v>25</v>
      </c>
    </row>
    <row r="115" spans="1:9" s="4" customFormat="1" ht="15" customHeight="1" x14ac:dyDescent="0.2">
      <c r="A115" s="141" t="s">
        <v>116</v>
      </c>
      <c r="B115" s="141"/>
      <c r="C115" s="25">
        <v>4000</v>
      </c>
      <c r="D115" s="25" t="s">
        <v>25</v>
      </c>
      <c r="E115" s="21"/>
      <c r="F115" s="45">
        <f>F116</f>
        <v>472086.57</v>
      </c>
      <c r="G115" s="26">
        <f>G116</f>
        <v>0</v>
      </c>
      <c r="H115" s="26">
        <f>H116</f>
        <v>0</v>
      </c>
      <c r="I115" s="26" t="s">
        <v>25</v>
      </c>
    </row>
    <row r="116" spans="1:9" s="4" customFormat="1" ht="25.5" customHeight="1" x14ac:dyDescent="0.2">
      <c r="A116" s="126" t="s">
        <v>117</v>
      </c>
      <c r="B116" s="126"/>
      <c r="C116" s="21">
        <v>4010</v>
      </c>
      <c r="D116" s="21">
        <v>610</v>
      </c>
      <c r="E116" s="25"/>
      <c r="F116" s="22">
        <f>378548.25+72228.32+21310</f>
        <v>472086.57</v>
      </c>
      <c r="G116" s="22"/>
      <c r="H116" s="22"/>
      <c r="I116" s="22" t="s">
        <v>25</v>
      </c>
    </row>
    <row r="117" spans="1:9" s="4" customFormat="1" ht="9.6" customHeight="1" x14ac:dyDescent="0.2">
      <c r="A117" s="27"/>
      <c r="B117" s="28"/>
      <c r="C117" s="29"/>
      <c r="D117" s="29"/>
      <c r="E117" s="30"/>
      <c r="F117" s="31"/>
      <c r="G117" s="31"/>
      <c r="H117" s="31"/>
      <c r="I117" s="31"/>
    </row>
    <row r="118" spans="1:9" x14ac:dyDescent="0.25">
      <c r="A118" s="127" t="s">
        <v>118</v>
      </c>
      <c r="B118" s="127"/>
      <c r="C118" s="127"/>
      <c r="D118" s="127"/>
      <c r="E118" s="127"/>
      <c r="F118" s="127"/>
      <c r="G118" s="127"/>
      <c r="H118" s="127"/>
      <c r="I118" s="32"/>
    </row>
    <row r="119" spans="1:9" ht="7.9" customHeight="1" x14ac:dyDescent="0.25">
      <c r="A119" s="33"/>
      <c r="B119" s="32"/>
      <c r="C119" s="34"/>
      <c r="D119" s="34"/>
      <c r="E119" s="34"/>
      <c r="F119" s="34"/>
      <c r="G119" s="34"/>
      <c r="H119" s="34"/>
      <c r="I119" s="32"/>
    </row>
    <row r="120" spans="1:9" ht="15.6" customHeight="1" x14ac:dyDescent="0.25">
      <c r="A120" s="128" t="s">
        <v>119</v>
      </c>
      <c r="B120" s="128" t="s">
        <v>12</v>
      </c>
      <c r="C120" s="128" t="s">
        <v>120</v>
      </c>
      <c r="D120" s="128" t="s">
        <v>121</v>
      </c>
      <c r="E120" s="131" t="s">
        <v>14</v>
      </c>
      <c r="F120" s="134" t="s">
        <v>16</v>
      </c>
      <c r="G120" s="135"/>
      <c r="H120" s="135"/>
      <c r="I120" s="136"/>
    </row>
    <row r="121" spans="1:9" ht="19.899999999999999" customHeight="1" x14ac:dyDescent="0.25">
      <c r="A121" s="129"/>
      <c r="B121" s="129"/>
      <c r="C121" s="129"/>
      <c r="D121" s="129"/>
      <c r="E121" s="132"/>
      <c r="F121" s="11" t="s">
        <v>17</v>
      </c>
      <c r="G121" s="11" t="s">
        <v>18</v>
      </c>
      <c r="H121" s="11" t="s">
        <v>218</v>
      </c>
      <c r="I121" s="137" t="s">
        <v>19</v>
      </c>
    </row>
    <row r="122" spans="1:9" ht="36.6" customHeight="1" x14ac:dyDescent="0.25">
      <c r="A122" s="130"/>
      <c r="B122" s="130"/>
      <c r="C122" s="130"/>
      <c r="D122" s="130"/>
      <c r="E122" s="133"/>
      <c r="F122" s="11" t="s">
        <v>20</v>
      </c>
      <c r="G122" s="11" t="s">
        <v>21</v>
      </c>
      <c r="H122" s="11" t="s">
        <v>22</v>
      </c>
      <c r="I122" s="138"/>
    </row>
    <row r="123" spans="1:9" ht="14.45" customHeight="1" x14ac:dyDescent="0.25">
      <c r="A123" s="19">
        <v>1</v>
      </c>
      <c r="B123" s="11">
        <v>2</v>
      </c>
      <c r="C123" s="11">
        <v>3</v>
      </c>
      <c r="D123" s="11">
        <v>4</v>
      </c>
      <c r="E123" s="12" t="s">
        <v>122</v>
      </c>
      <c r="F123" s="11">
        <v>5</v>
      </c>
      <c r="G123" s="11">
        <v>6</v>
      </c>
      <c r="H123" s="11">
        <v>7</v>
      </c>
      <c r="I123" s="11">
        <v>8</v>
      </c>
    </row>
    <row r="124" spans="1:9" ht="21" customHeight="1" x14ac:dyDescent="0.25">
      <c r="A124" s="19">
        <v>1</v>
      </c>
      <c r="B124" s="35" t="s">
        <v>123</v>
      </c>
      <c r="C124" s="25">
        <v>26000</v>
      </c>
      <c r="D124" s="25" t="s">
        <v>25</v>
      </c>
      <c r="E124" s="10" t="s">
        <v>25</v>
      </c>
      <c r="F124" s="45">
        <f>F125+F126+F127+F131</f>
        <v>17697157.530000001</v>
      </c>
      <c r="G124" s="45">
        <f>G125+G126+G127+G131</f>
        <v>19203604.689999998</v>
      </c>
      <c r="H124" s="45">
        <f>H125+H126+H127+H131</f>
        <v>18904984.009999998</v>
      </c>
      <c r="I124" s="26">
        <f>I125+I126+I127+I131</f>
        <v>0</v>
      </c>
    </row>
    <row r="125" spans="1:9" ht="145.15" customHeight="1" x14ac:dyDescent="0.25">
      <c r="A125" s="36" t="s">
        <v>124</v>
      </c>
      <c r="B125" s="37" t="s">
        <v>125</v>
      </c>
      <c r="C125" s="38">
        <v>26100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9" ht="40.9" customHeight="1" x14ac:dyDescent="0.25">
      <c r="A126" s="36" t="s">
        <v>126</v>
      </c>
      <c r="B126" s="37" t="s">
        <v>127</v>
      </c>
      <c r="C126" s="38">
        <v>26200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9" ht="39" customHeight="1" x14ac:dyDescent="0.25">
      <c r="A127" s="36" t="s">
        <v>128</v>
      </c>
      <c r="B127" s="37" t="s">
        <v>129</v>
      </c>
      <c r="C127" s="38">
        <v>26300</v>
      </c>
      <c r="D127" s="21" t="s">
        <v>25</v>
      </c>
      <c r="E127" s="10" t="s">
        <v>25</v>
      </c>
      <c r="F127" s="22">
        <v>4307776.4800000004</v>
      </c>
      <c r="G127" s="22">
        <v>0</v>
      </c>
      <c r="H127" s="22">
        <v>0</v>
      </c>
      <c r="I127" s="22"/>
    </row>
    <row r="128" spans="1:9" ht="14.45" customHeight="1" x14ac:dyDescent="0.25">
      <c r="A128" s="39" t="s">
        <v>130</v>
      </c>
      <c r="B128" s="37" t="s">
        <v>131</v>
      </c>
      <c r="C128" s="38">
        <v>26310</v>
      </c>
      <c r="D128" s="21" t="s">
        <v>25</v>
      </c>
      <c r="E128" s="40" t="s">
        <v>25</v>
      </c>
      <c r="F128" s="44">
        <f>F127</f>
        <v>4307776.4800000004</v>
      </c>
      <c r="G128" s="22"/>
      <c r="H128" s="22"/>
      <c r="I128" s="22"/>
    </row>
    <row r="129" spans="1:12" x14ac:dyDescent="0.25">
      <c r="A129" s="39"/>
      <c r="B129" s="37" t="s">
        <v>191</v>
      </c>
      <c r="C129" s="38" t="s">
        <v>132</v>
      </c>
      <c r="D129" s="21" t="s">
        <v>25</v>
      </c>
      <c r="E129" s="10">
        <v>150</v>
      </c>
      <c r="F129" s="22">
        <v>35880</v>
      </c>
      <c r="G129" s="22"/>
      <c r="H129" s="22"/>
      <c r="I129" s="22"/>
      <c r="J129" s="53"/>
      <c r="K129" s="53"/>
    </row>
    <row r="130" spans="1:12" ht="15.6" customHeight="1" x14ac:dyDescent="0.25">
      <c r="A130" s="39" t="s">
        <v>133</v>
      </c>
      <c r="B130" s="37" t="s">
        <v>134</v>
      </c>
      <c r="C130" s="38">
        <v>26320</v>
      </c>
      <c r="D130" s="21" t="s">
        <v>25</v>
      </c>
      <c r="E130" s="10" t="s">
        <v>25</v>
      </c>
      <c r="F130" s="22"/>
      <c r="G130" s="22"/>
      <c r="H130" s="22"/>
      <c r="I130" s="22"/>
    </row>
    <row r="131" spans="1:12" ht="39.6" customHeight="1" x14ac:dyDescent="0.25">
      <c r="A131" s="36" t="s">
        <v>135</v>
      </c>
      <c r="B131" s="37" t="s">
        <v>136</v>
      </c>
      <c r="C131" s="38">
        <v>26400</v>
      </c>
      <c r="D131" s="21" t="s">
        <v>25</v>
      </c>
      <c r="E131" s="10" t="s">
        <v>25</v>
      </c>
      <c r="F131" s="44">
        <f>F132+F135+F142+F144+F147</f>
        <v>13389381.050000003</v>
      </c>
      <c r="G131" s="44">
        <f>G132+G135+G142+G144+G147</f>
        <v>19203604.689999998</v>
      </c>
      <c r="H131" s="44">
        <f>H132+H135+H142+H144+H147</f>
        <v>18904984.009999998</v>
      </c>
      <c r="I131" s="22">
        <f>I132+I135+I142+I144+I147</f>
        <v>0</v>
      </c>
      <c r="J131" s="50"/>
      <c r="K131" s="6"/>
      <c r="L131" s="6"/>
    </row>
    <row r="132" spans="1:12" ht="38.450000000000003" customHeight="1" x14ac:dyDescent="0.25">
      <c r="A132" s="39" t="s">
        <v>137</v>
      </c>
      <c r="B132" s="37" t="s">
        <v>138</v>
      </c>
      <c r="C132" s="38">
        <v>26410</v>
      </c>
      <c r="D132" s="21" t="s">
        <v>25</v>
      </c>
      <c r="E132" s="10" t="s">
        <v>25</v>
      </c>
      <c r="F132" s="44">
        <f>F133+F134</f>
        <v>4407019.22</v>
      </c>
      <c r="G132" s="44">
        <f>G133+G134</f>
        <v>6583666.3699999973</v>
      </c>
      <c r="H132" s="44">
        <f>H133+H134</f>
        <v>6561152.8499999996</v>
      </c>
      <c r="I132" s="22">
        <f>I133+I134</f>
        <v>0</v>
      </c>
    </row>
    <row r="133" spans="1:12" ht="26.25" x14ac:dyDescent="0.25">
      <c r="A133" s="39" t="s">
        <v>139</v>
      </c>
      <c r="B133" s="37" t="s">
        <v>140</v>
      </c>
      <c r="C133" s="38">
        <v>26411</v>
      </c>
      <c r="D133" s="21" t="s">
        <v>25</v>
      </c>
      <c r="E133" s="10" t="s">
        <v>25</v>
      </c>
      <c r="F133" s="44">
        <f>F93-F127-F135-F147-F125</f>
        <v>4407019.22</v>
      </c>
      <c r="G133" s="44">
        <f>G93-G127-G135-G147</f>
        <v>6583666.3699999973</v>
      </c>
      <c r="H133" s="44">
        <f>H93-H127-H135-H147</f>
        <v>6561152.8499999996</v>
      </c>
      <c r="I133" s="22"/>
    </row>
    <row r="134" spans="1:12" ht="19.899999999999999" customHeight="1" x14ac:dyDescent="0.25">
      <c r="A134" s="39" t="s">
        <v>141</v>
      </c>
      <c r="B134" s="37" t="s">
        <v>142</v>
      </c>
      <c r="C134" s="21">
        <v>26412</v>
      </c>
      <c r="D134" s="21" t="s">
        <v>25</v>
      </c>
      <c r="E134" s="10" t="s">
        <v>25</v>
      </c>
      <c r="F134" s="22"/>
      <c r="G134" s="22"/>
      <c r="H134" s="22"/>
      <c r="I134" s="22"/>
    </row>
    <row r="135" spans="1:12" ht="28.9" customHeight="1" x14ac:dyDescent="0.25">
      <c r="A135" s="39" t="s">
        <v>143</v>
      </c>
      <c r="B135" s="37" t="s">
        <v>144</v>
      </c>
      <c r="C135" s="38">
        <v>26420</v>
      </c>
      <c r="D135" s="21" t="s">
        <v>25</v>
      </c>
      <c r="E135" s="10" t="s">
        <v>25</v>
      </c>
      <c r="F135" s="44">
        <f>F136+F141</f>
        <v>8540562.8600000013</v>
      </c>
      <c r="G135" s="44">
        <f>G136+G141</f>
        <v>12537272.84</v>
      </c>
      <c r="H135" s="44">
        <f>H136+H141</f>
        <v>12261165.679999998</v>
      </c>
      <c r="I135" s="22">
        <f>I136+I141</f>
        <v>0</v>
      </c>
    </row>
    <row r="136" spans="1:12" ht="26.45" customHeight="1" x14ac:dyDescent="0.25">
      <c r="A136" s="39" t="s">
        <v>145</v>
      </c>
      <c r="B136" s="37" t="s">
        <v>140</v>
      </c>
      <c r="C136" s="38">
        <v>26421</v>
      </c>
      <c r="D136" s="21" t="s">
        <v>25</v>
      </c>
      <c r="E136" s="10" t="s">
        <v>25</v>
      </c>
      <c r="F136" s="82">
        <f>F35-76804.92-23195.08-F54-F129-F40</f>
        <v>8540562.8600000013</v>
      </c>
      <c r="G136" s="44">
        <f>G35-76804.92-23195.08-G54</f>
        <v>12537272.84</v>
      </c>
      <c r="H136" s="44">
        <f>H35-76804.92-23195.08-H54</f>
        <v>12261165.679999998</v>
      </c>
      <c r="I136" s="22"/>
    </row>
    <row r="137" spans="1:12" ht="15.6" customHeight="1" x14ac:dyDescent="0.25">
      <c r="A137" s="39"/>
      <c r="B137" s="37" t="s">
        <v>146</v>
      </c>
      <c r="C137" s="38" t="s">
        <v>147</v>
      </c>
      <c r="D137" s="21" t="s">
        <v>25</v>
      </c>
      <c r="E137" s="10">
        <v>150</v>
      </c>
      <c r="F137" s="44">
        <f>F136-F138-F139-F140</f>
        <v>2408492.870000001</v>
      </c>
      <c r="G137" s="44">
        <f>G136-G138-G139-G140</f>
        <v>3744323.0699999994</v>
      </c>
      <c r="H137" s="44">
        <f>H136-H138-H139-H140</f>
        <v>3719766.319999998</v>
      </c>
      <c r="I137" s="22"/>
      <c r="J137" s="51"/>
    </row>
    <row r="138" spans="1:12" ht="55.15" customHeight="1" x14ac:dyDescent="0.25">
      <c r="A138" s="39"/>
      <c r="B138" s="37" t="s">
        <v>198</v>
      </c>
      <c r="C138" s="38" t="s">
        <v>225</v>
      </c>
      <c r="D138" s="21" t="s">
        <v>25</v>
      </c>
      <c r="E138" s="10" t="s">
        <v>197</v>
      </c>
      <c r="F138" s="44">
        <f>F51</f>
        <v>4520564.6500000004</v>
      </c>
      <c r="G138" s="44">
        <v>6481945.7000000002</v>
      </c>
      <c r="H138" s="44">
        <f>H51</f>
        <v>6482395.7000000002</v>
      </c>
      <c r="I138" s="22"/>
      <c r="J138" s="51"/>
    </row>
    <row r="139" spans="1:12" ht="59.45" customHeight="1" x14ac:dyDescent="0.25">
      <c r="A139" s="39"/>
      <c r="B139" s="37" t="s">
        <v>199</v>
      </c>
      <c r="C139" s="38" t="s">
        <v>226</v>
      </c>
      <c r="D139" s="21" t="s">
        <v>25</v>
      </c>
      <c r="E139" s="10" t="s">
        <v>197</v>
      </c>
      <c r="F139" s="44">
        <f>F52</f>
        <v>1427543.13</v>
      </c>
      <c r="G139" s="44">
        <v>2046995.37</v>
      </c>
      <c r="H139" s="44">
        <f>H52</f>
        <v>1802579.38</v>
      </c>
      <c r="I139" s="22"/>
    </row>
    <row r="140" spans="1:12" ht="53.45" customHeight="1" x14ac:dyDescent="0.25">
      <c r="A140" s="39"/>
      <c r="B140" s="37" t="s">
        <v>200</v>
      </c>
      <c r="C140" s="38" t="s">
        <v>194</v>
      </c>
      <c r="D140" s="21" t="s">
        <v>25</v>
      </c>
      <c r="E140" s="10" t="s">
        <v>197</v>
      </c>
      <c r="F140" s="44">
        <f>F53</f>
        <v>183962.21</v>
      </c>
      <c r="G140" s="44">
        <v>264008.7</v>
      </c>
      <c r="H140" s="44">
        <f>H53</f>
        <v>256424.28</v>
      </c>
      <c r="I140" s="22"/>
    </row>
    <row r="141" spans="1:12" ht="19.899999999999999" customHeight="1" x14ac:dyDescent="0.25">
      <c r="A141" s="39" t="s">
        <v>148</v>
      </c>
      <c r="B141" s="37" t="s">
        <v>142</v>
      </c>
      <c r="C141" s="38">
        <v>26422</v>
      </c>
      <c r="D141" s="21" t="s">
        <v>25</v>
      </c>
      <c r="E141" s="10" t="s">
        <v>25</v>
      </c>
      <c r="F141" s="22"/>
      <c r="G141" s="22"/>
      <c r="H141" s="22"/>
      <c r="I141" s="22"/>
    </row>
    <row r="142" spans="1:12" ht="18.600000000000001" customHeight="1" x14ac:dyDescent="0.25">
      <c r="A142" s="39" t="s">
        <v>149</v>
      </c>
      <c r="B142" s="37" t="s">
        <v>150</v>
      </c>
      <c r="C142" s="38">
        <v>26430</v>
      </c>
      <c r="D142" s="21" t="s">
        <v>25</v>
      </c>
      <c r="E142" s="10" t="s">
        <v>25</v>
      </c>
      <c r="F142" s="22"/>
      <c r="G142" s="22"/>
      <c r="H142" s="22"/>
      <c r="I142" s="22"/>
      <c r="L142" s="51"/>
    </row>
    <row r="143" spans="1:12" ht="16.899999999999999" customHeight="1" x14ac:dyDescent="0.25">
      <c r="A143" s="39"/>
      <c r="B143" s="37" t="s">
        <v>146</v>
      </c>
      <c r="C143" s="38" t="s">
        <v>151</v>
      </c>
      <c r="D143" s="21" t="s">
        <v>25</v>
      </c>
      <c r="E143" s="10"/>
      <c r="F143" s="22"/>
      <c r="G143" s="22"/>
      <c r="H143" s="22"/>
      <c r="I143" s="22"/>
    </row>
    <row r="144" spans="1:12" ht="19.149999999999999" customHeight="1" x14ac:dyDescent="0.25">
      <c r="A144" s="39" t="s">
        <v>152</v>
      </c>
      <c r="B144" s="37" t="s">
        <v>153</v>
      </c>
      <c r="C144" s="38">
        <v>26440</v>
      </c>
      <c r="D144" s="21" t="s">
        <v>25</v>
      </c>
      <c r="E144" s="10" t="s">
        <v>25</v>
      </c>
      <c r="F144" s="44">
        <f>F145+F146</f>
        <v>0</v>
      </c>
      <c r="G144" s="44">
        <f>G145+G146</f>
        <v>0</v>
      </c>
      <c r="H144" s="44">
        <f>H145+H146</f>
        <v>0</v>
      </c>
      <c r="I144" s="22">
        <f>I145+I146</f>
        <v>0</v>
      </c>
    </row>
    <row r="145" spans="1:10" ht="27.6" customHeight="1" x14ac:dyDescent="0.25">
      <c r="A145" s="39" t="s">
        <v>154</v>
      </c>
      <c r="B145" s="37" t="s">
        <v>140</v>
      </c>
      <c r="C145" s="38">
        <v>26441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149999999999999" customHeight="1" x14ac:dyDescent="0.25">
      <c r="A146" s="41" t="s">
        <v>155</v>
      </c>
      <c r="B146" s="37" t="s">
        <v>142</v>
      </c>
      <c r="C146" s="38">
        <v>26442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19.899999999999999" customHeight="1" x14ac:dyDescent="0.25">
      <c r="A147" s="41" t="s">
        <v>156</v>
      </c>
      <c r="B147" s="37" t="s">
        <v>157</v>
      </c>
      <c r="C147" s="38">
        <v>26450</v>
      </c>
      <c r="D147" s="21" t="s">
        <v>25</v>
      </c>
      <c r="E147" s="10" t="s">
        <v>25</v>
      </c>
      <c r="F147" s="94">
        <f>F148+F150</f>
        <v>441798.97</v>
      </c>
      <c r="G147" s="94">
        <f>G148+G150</f>
        <v>82665.48</v>
      </c>
      <c r="H147" s="94">
        <f>H148+H150</f>
        <v>82665.48</v>
      </c>
      <c r="I147" s="22">
        <f>I148+I150</f>
        <v>0</v>
      </c>
    </row>
    <row r="148" spans="1:10" ht="26.25" x14ac:dyDescent="0.25">
      <c r="A148" s="41" t="s">
        <v>158</v>
      </c>
      <c r="B148" s="37" t="s">
        <v>140</v>
      </c>
      <c r="C148" s="38">
        <v>26451</v>
      </c>
      <c r="D148" s="21" t="s">
        <v>25</v>
      </c>
      <c r="E148" s="10" t="s">
        <v>25</v>
      </c>
      <c r="F148" s="94">
        <v>441798.97</v>
      </c>
      <c r="G148" s="94">
        <f>20665.48+62000</f>
        <v>82665.48</v>
      </c>
      <c r="H148" s="94">
        <f>20665.48+62000</f>
        <v>82665.48</v>
      </c>
      <c r="I148" s="22"/>
    </row>
    <row r="149" spans="1:10" ht="19.149999999999999" customHeight="1" x14ac:dyDescent="0.25">
      <c r="A149" s="41"/>
      <c r="B149" s="37" t="s">
        <v>146</v>
      </c>
      <c r="C149" s="38" t="s">
        <v>159</v>
      </c>
      <c r="D149" s="21" t="s">
        <v>25</v>
      </c>
      <c r="E149" s="10">
        <v>150</v>
      </c>
      <c r="F149" s="49"/>
      <c r="G149" s="22"/>
      <c r="H149" s="22"/>
      <c r="I149" s="22"/>
      <c r="J149" s="53"/>
    </row>
    <row r="150" spans="1:10" ht="19.899999999999999" customHeight="1" x14ac:dyDescent="0.25">
      <c r="A150" s="41" t="s">
        <v>160</v>
      </c>
      <c r="B150" s="37" t="s">
        <v>142</v>
      </c>
      <c r="C150" s="38">
        <v>26452</v>
      </c>
      <c r="D150" s="21" t="s">
        <v>25</v>
      </c>
      <c r="E150" s="10" t="s">
        <v>25</v>
      </c>
      <c r="F150" s="22"/>
      <c r="G150" s="22"/>
      <c r="H150" s="22"/>
      <c r="I150" s="22"/>
    </row>
    <row r="151" spans="1:10" ht="42.6" customHeight="1" x14ac:dyDescent="0.25">
      <c r="A151" s="41" t="s">
        <v>161</v>
      </c>
      <c r="B151" s="37" t="s">
        <v>162</v>
      </c>
      <c r="C151" s="38">
        <v>26500</v>
      </c>
      <c r="D151" s="21" t="s">
        <v>25</v>
      </c>
      <c r="E151" s="10" t="s">
        <v>25</v>
      </c>
      <c r="F151" s="44">
        <f>F153+F154+F155</f>
        <v>13389381.050000003</v>
      </c>
      <c r="G151" s="44">
        <f>G153+G154+G155</f>
        <v>19203604.689999998</v>
      </c>
      <c r="H151" s="44">
        <f>H153+H154+H155</f>
        <v>18904984.009999998</v>
      </c>
      <c r="I151" s="22">
        <f>I152+I156</f>
        <v>0</v>
      </c>
    </row>
    <row r="152" spans="1:10" ht="15.6" customHeight="1" x14ac:dyDescent="0.25">
      <c r="A152" s="41"/>
      <c r="B152" s="37" t="s">
        <v>163</v>
      </c>
      <c r="C152" s="38">
        <v>26510</v>
      </c>
      <c r="D152" s="21"/>
      <c r="E152" s="10" t="s">
        <v>25</v>
      </c>
      <c r="F152" s="44"/>
      <c r="G152" s="44"/>
      <c r="H152" s="44"/>
      <c r="I152" s="22"/>
    </row>
    <row r="153" spans="1:10" ht="18.600000000000001" customHeight="1" x14ac:dyDescent="0.25">
      <c r="A153" s="41" t="s">
        <v>204</v>
      </c>
      <c r="B153" s="37"/>
      <c r="C153" s="38"/>
      <c r="D153" s="21">
        <v>2021</v>
      </c>
      <c r="E153" s="10"/>
      <c r="F153" s="44">
        <f>F131</f>
        <v>13389381.050000003</v>
      </c>
      <c r="G153" s="44"/>
      <c r="H153" s="44"/>
      <c r="I153" s="22"/>
    </row>
    <row r="154" spans="1:10" ht="19.899999999999999" customHeight="1" x14ac:dyDescent="0.25">
      <c r="A154" s="41" t="s">
        <v>205</v>
      </c>
      <c r="B154" s="37"/>
      <c r="C154" s="38"/>
      <c r="D154" s="21">
        <v>2022</v>
      </c>
      <c r="E154" s="10"/>
      <c r="F154" s="44"/>
      <c r="G154" s="44">
        <f>G131-G153-G155</f>
        <v>19203604.689999998</v>
      </c>
      <c r="H154" s="44"/>
      <c r="I154" s="22"/>
    </row>
    <row r="155" spans="1:10" ht="18" customHeight="1" x14ac:dyDescent="0.25">
      <c r="A155" s="41" t="s">
        <v>206</v>
      </c>
      <c r="B155" s="37"/>
      <c r="C155" s="38"/>
      <c r="D155" s="21">
        <v>2023</v>
      </c>
      <c r="E155" s="10"/>
      <c r="F155" s="44"/>
      <c r="G155" s="44"/>
      <c r="H155" s="44">
        <f>H131-H154-H153</f>
        <v>18904984.009999998</v>
      </c>
      <c r="I155" s="22"/>
    </row>
    <row r="156" spans="1:10" ht="16.899999999999999" customHeight="1" x14ac:dyDescent="0.25">
      <c r="A156" s="41"/>
      <c r="B156" s="37"/>
      <c r="C156" s="38"/>
      <c r="D156" s="21"/>
      <c r="E156" s="10" t="s">
        <v>25</v>
      </c>
      <c r="F156" s="22"/>
      <c r="G156" s="22"/>
      <c r="H156" s="22"/>
      <c r="I156" s="22"/>
    </row>
    <row r="157" spans="1:10" ht="39" x14ac:dyDescent="0.25">
      <c r="A157" s="41" t="s">
        <v>164</v>
      </c>
      <c r="B157" s="37" t="s">
        <v>165</v>
      </c>
      <c r="C157" s="38">
        <v>26600</v>
      </c>
      <c r="D157" s="21" t="s">
        <v>25</v>
      </c>
      <c r="E157" s="10" t="s">
        <v>25</v>
      </c>
      <c r="F157" s="44">
        <f>F158+F159</f>
        <v>0</v>
      </c>
      <c r="G157" s="44">
        <f>G158+G159</f>
        <v>0</v>
      </c>
      <c r="H157" s="44">
        <f>H158+H159</f>
        <v>0</v>
      </c>
      <c r="I157" s="22">
        <f>I158+I159</f>
        <v>0</v>
      </c>
    </row>
    <row r="158" spans="1:10" x14ac:dyDescent="0.25">
      <c r="A158" s="41"/>
      <c r="B158" s="37" t="s">
        <v>163</v>
      </c>
      <c r="C158" s="38">
        <v>26610</v>
      </c>
      <c r="D158" s="21"/>
      <c r="E158" s="10" t="s">
        <v>25</v>
      </c>
      <c r="F158" s="22"/>
      <c r="G158" s="22"/>
      <c r="H158" s="22"/>
      <c r="I158" s="22"/>
    </row>
    <row r="159" spans="1:10" x14ac:dyDescent="0.25">
      <c r="A159" s="41"/>
      <c r="B159" s="37"/>
      <c r="C159" s="21"/>
      <c r="D159" s="21"/>
      <c r="E159" s="10" t="s">
        <v>25</v>
      </c>
      <c r="F159" s="22"/>
      <c r="G159" s="22"/>
      <c r="H159" s="22"/>
      <c r="I159" s="22"/>
    </row>
    <row r="160" spans="1:10" ht="6.75" customHeight="1" x14ac:dyDescent="0.25">
      <c r="A160" s="33"/>
      <c r="B160" s="32"/>
      <c r="C160" s="34"/>
      <c r="D160" s="34"/>
      <c r="E160" s="34"/>
      <c r="F160" s="34"/>
      <c r="G160" s="34"/>
      <c r="H160" s="34"/>
      <c r="I160" s="32"/>
    </row>
    <row r="161" spans="1:10" x14ac:dyDescent="0.25">
      <c r="A161" s="63"/>
      <c r="B161" s="5"/>
      <c r="C161" s="64"/>
      <c r="D161" s="64"/>
      <c r="E161" s="64"/>
      <c r="F161" s="64"/>
      <c r="G161" s="64"/>
      <c r="H161" s="64"/>
      <c r="I161" s="5"/>
    </row>
    <row r="162" spans="1:10" x14ac:dyDescent="0.25">
      <c r="A162" s="65" t="s">
        <v>227</v>
      </c>
      <c r="D162" s="66"/>
      <c r="E162" s="55"/>
      <c r="F162" s="124" t="s">
        <v>208</v>
      </c>
      <c r="G162" s="124"/>
    </row>
    <row r="163" spans="1:10" x14ac:dyDescent="0.25">
      <c r="B163" s="1"/>
      <c r="C163" s="1"/>
      <c r="D163" s="67" t="s">
        <v>166</v>
      </c>
      <c r="F163" s="125" t="s">
        <v>167</v>
      </c>
      <c r="G163" s="125"/>
    </row>
    <row r="164" spans="1:10" x14ac:dyDescent="0.25">
      <c r="B164" s="1"/>
      <c r="C164" s="1"/>
      <c r="D164" s="1"/>
      <c r="E164" s="1"/>
      <c r="F164" s="1"/>
      <c r="G164" s="68"/>
    </row>
    <row r="165" spans="1:10" x14ac:dyDescent="0.25">
      <c r="A165" s="65"/>
      <c r="D165" s="66"/>
      <c r="E165" s="55"/>
      <c r="F165" s="124" t="s">
        <v>168</v>
      </c>
      <c r="G165" s="124"/>
    </row>
    <row r="166" spans="1:10" ht="13.5" customHeight="1" x14ac:dyDescent="0.25">
      <c r="A166" s="1" t="s">
        <v>169</v>
      </c>
      <c r="B166" s="1"/>
      <c r="C166" s="1"/>
      <c r="D166" s="67" t="s">
        <v>166</v>
      </c>
      <c r="F166" s="125" t="s">
        <v>167</v>
      </c>
      <c r="G166" s="125"/>
    </row>
    <row r="167" spans="1:10" hidden="1" x14ac:dyDescent="0.25">
      <c r="A167" s="65"/>
    </row>
    <row r="168" spans="1:10" ht="1.5" hidden="1" customHeight="1" x14ac:dyDescent="0.3">
      <c r="A168" s="65"/>
      <c r="H168" s="69"/>
      <c r="I168" s="69"/>
      <c r="J168"/>
    </row>
    <row r="169" spans="1:10" ht="17.25" customHeight="1" x14ac:dyDescent="0.3">
      <c r="A169" s="70"/>
      <c r="B169" s="69"/>
      <c r="C169" s="69"/>
      <c r="H169" s="69"/>
      <c r="I169" s="69"/>
      <c r="J169"/>
    </row>
    <row r="170" spans="1:10" ht="18.75" hidden="1" x14ac:dyDescent="0.3">
      <c r="A170" s="70"/>
      <c r="B170" s="69"/>
      <c r="C170" s="69"/>
      <c r="D170" s="69"/>
      <c r="E170" s="69"/>
      <c r="F170" s="71"/>
      <c r="H170" s="69"/>
      <c r="I170" s="69"/>
      <c r="J170"/>
    </row>
    <row r="171" spans="1:10" ht="45.75" customHeight="1" x14ac:dyDescent="0.3">
      <c r="A171" s="72" t="s">
        <v>232</v>
      </c>
      <c r="B171" s="72"/>
      <c r="C171" s="72"/>
      <c r="D171" s="72"/>
      <c r="E171" s="69"/>
      <c r="F171" s="71"/>
      <c r="H171" s="69"/>
      <c r="I171" s="69"/>
      <c r="J171"/>
    </row>
    <row r="172" spans="1:10" ht="15.75" customHeight="1" x14ac:dyDescent="0.3">
      <c r="A172" s="102" t="s">
        <v>170</v>
      </c>
      <c r="B172" s="102"/>
      <c r="C172" s="102"/>
      <c r="D172" s="102"/>
      <c r="E172" s="73"/>
      <c r="H172" s="69"/>
      <c r="I172" s="69"/>
      <c r="J172"/>
    </row>
    <row r="173" spans="1:10" x14ac:dyDescent="0.25">
      <c r="A173" s="102"/>
      <c r="B173" s="102"/>
      <c r="C173" s="102"/>
      <c r="D173" s="102"/>
      <c r="E173" s="102"/>
      <c r="H173" s="5"/>
      <c r="I173" s="5"/>
    </row>
    <row r="174" spans="1:10" x14ac:dyDescent="0.25">
      <c r="C174" s="5"/>
      <c r="D174" s="5"/>
      <c r="E174" s="5"/>
      <c r="H174" s="5"/>
      <c r="I174" s="5"/>
    </row>
    <row r="175" spans="1:10" x14ac:dyDescent="0.25">
      <c r="A175" s="2"/>
      <c r="H175" s="5"/>
      <c r="I175" s="5"/>
    </row>
    <row r="176" spans="1:10" x14ac:dyDescent="0.25"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C187" s="5"/>
      <c r="D187" s="5"/>
      <c r="E187" s="5"/>
      <c r="F187" s="5"/>
      <c r="G187" s="5"/>
      <c r="H187" s="5"/>
      <c r="I187" s="5"/>
    </row>
    <row r="188" spans="3:9" x14ac:dyDescent="0.25">
      <c r="E188" s="5"/>
    </row>
  </sheetData>
  <mergeCells count="118">
    <mergeCell ref="I121:I122"/>
    <mergeCell ref="F162:G162"/>
    <mergeCell ref="F163:G163"/>
    <mergeCell ref="F165:G165"/>
    <mergeCell ref="F166:G166"/>
    <mergeCell ref="A114:B114"/>
    <mergeCell ref="A115:B115"/>
    <mergeCell ref="A116:B116"/>
    <mergeCell ref="A118:H118"/>
    <mergeCell ref="A120:A122"/>
    <mergeCell ref="B120:B122"/>
    <mergeCell ref="C120:C122"/>
    <mergeCell ref="D120:D122"/>
    <mergeCell ref="E120:E122"/>
    <mergeCell ref="F120:I120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9:B19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8"/>
  <sheetViews>
    <sheetView topLeftCell="A94" zoomScale="85" zoomScaleNormal="85" zoomScaleSheetLayoutView="70" workbookViewId="0">
      <selection activeCell="C108" sqref="C108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245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246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247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9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9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9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9" ht="10.9" customHeight="1" x14ac:dyDescent="0.25">
      <c r="H20" s="57"/>
      <c r="I20" s="62"/>
    </row>
    <row r="21" spans="1:9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9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9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9" s="4" customFormat="1" ht="12.75" customHeight="1" x14ac:dyDescent="0.2">
      <c r="A24" s="149">
        <v>1</v>
      </c>
      <c r="B24" s="149"/>
      <c r="C24" s="95">
        <v>2</v>
      </c>
      <c r="D24" s="95">
        <v>3</v>
      </c>
      <c r="E24" s="95">
        <v>4</v>
      </c>
      <c r="F24" s="11">
        <v>5</v>
      </c>
      <c r="G24" s="11">
        <v>6</v>
      </c>
      <c r="H24" s="11">
        <v>7</v>
      </c>
      <c r="I24" s="95">
        <v>8</v>
      </c>
    </row>
    <row r="25" spans="1:9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378548.25+72228.32+21310+112204.45</f>
        <v>584291.02</v>
      </c>
      <c r="G25" s="13">
        <v>0</v>
      </c>
      <c r="H25" s="13">
        <v>0</v>
      </c>
      <c r="I25" s="13">
        <v>0</v>
      </c>
    </row>
    <row r="26" spans="1:9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F25+F27-F62+F111-F115</f>
        <v>7.7416189014911652E-9</v>
      </c>
      <c r="G26" s="43">
        <f>G25+G27-G62-G115</f>
        <v>-7.4505805969238281E-9</v>
      </c>
      <c r="H26" s="43">
        <f>H25+H27-H62-H115</f>
        <v>-7.4505805969238281E-9</v>
      </c>
      <c r="I26" s="43">
        <v>0</v>
      </c>
    </row>
    <row r="27" spans="1:9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F28+F29+F33+F34+F57+F59+F60</f>
        <v>56494822.99000001</v>
      </c>
      <c r="G27" s="42">
        <f>G28+G29+G33+G34+G57+G59+G60</f>
        <v>58498779.229999989</v>
      </c>
      <c r="H27" s="42">
        <f>H28+H29+H33+H34+H57+H59+H60</f>
        <v>58200158.54999999</v>
      </c>
      <c r="I27" s="42">
        <f>I28+I29+I33+I34+I57+I59+I60</f>
        <v>0</v>
      </c>
    </row>
    <row r="28" spans="1:9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9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F30+F32+F58</f>
        <v>42656069.720000006</v>
      </c>
      <c r="G29" s="42">
        <f>G30+G32+G58+G59</f>
        <v>42257280.909999996</v>
      </c>
      <c r="H29" s="42">
        <f>H30+H32+H58+H59</f>
        <v>42234767.389999993</v>
      </c>
      <c r="I29" s="42">
        <f>SUM(I30:I32)</f>
        <v>0</v>
      </c>
    </row>
    <row r="30" spans="1:9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v>42258038.630000003</v>
      </c>
      <c r="G30" s="52">
        <f>42353595.91-106100-170215</f>
        <v>42077280.909999996</v>
      </c>
      <c r="H30" s="52">
        <f>42353595.91-128613.52-170215</f>
        <v>42054767.389999993</v>
      </c>
      <c r="I30" s="13"/>
    </row>
    <row r="31" spans="1:9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</row>
    <row r="32" spans="1:9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398031.09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F35+F55+F56</f>
        <v>13826753.27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43">
        <f>SUM(F37:F54)</f>
        <v>13799562.02</v>
      </c>
      <c r="G35" s="43">
        <f>SUM(G37:G57)</f>
        <v>16230832.84</v>
      </c>
      <c r="H35" s="43">
        <f>SUM(H37:H54)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236</v>
      </c>
      <c r="B37" s="149"/>
      <c r="C37" s="19"/>
      <c r="D37" s="12"/>
      <c r="E37" s="11"/>
      <c r="F37" s="98">
        <v>150000</v>
      </c>
      <c r="G37" s="20"/>
      <c r="H37" s="20"/>
      <c r="I37" s="13"/>
    </row>
    <row r="38" spans="1:9" s="46" customFormat="1" ht="49.5" customHeight="1" x14ac:dyDescent="0.2">
      <c r="A38" s="149" t="s">
        <v>249</v>
      </c>
      <c r="B38" s="149"/>
      <c r="C38" s="19"/>
      <c r="D38" s="12"/>
      <c r="E38" s="11"/>
      <c r="F38" s="98">
        <f>52050-52050</f>
        <v>0</v>
      </c>
      <c r="G38" s="20">
        <v>50000</v>
      </c>
      <c r="H38" s="20">
        <v>50000</v>
      </c>
      <c r="I38" s="13"/>
    </row>
    <row r="39" spans="1:9" s="46" customFormat="1" ht="29.45" customHeight="1" x14ac:dyDescent="0.2">
      <c r="A39" s="150" t="s">
        <v>248</v>
      </c>
      <c r="B39" s="151"/>
      <c r="C39" s="19"/>
      <c r="D39" s="12"/>
      <c r="E39" s="11"/>
      <c r="F39" s="98">
        <v>148173.29</v>
      </c>
      <c r="G39" s="20"/>
      <c r="H39" s="20"/>
      <c r="I39" s="13"/>
    </row>
    <row r="40" spans="1:9" s="46" customFormat="1" ht="16.899999999999999" customHeight="1" x14ac:dyDescent="0.2">
      <c r="A40" s="149" t="s">
        <v>171</v>
      </c>
      <c r="B40" s="149"/>
      <c r="C40" s="19"/>
      <c r="D40" s="12"/>
      <c r="E40" s="11"/>
      <c r="F40" s="98">
        <v>1498868.94</v>
      </c>
      <c r="G40" s="20">
        <v>1500000</v>
      </c>
      <c r="H40" s="20">
        <v>1500000</v>
      </c>
      <c r="I40" s="13"/>
    </row>
    <row r="41" spans="1:9" s="46" customFormat="1" ht="54.75" customHeight="1" x14ac:dyDescent="0.2">
      <c r="A41" s="149" t="s">
        <v>250</v>
      </c>
      <c r="B41" s="149"/>
      <c r="C41" s="12"/>
      <c r="D41" s="12"/>
      <c r="E41" s="11"/>
      <c r="F41" s="99">
        <v>296735.08</v>
      </c>
      <c r="G41" s="84"/>
      <c r="H41" s="84"/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>
        <v>20500</v>
      </c>
      <c r="G42" s="84"/>
      <c r="H42" s="84"/>
      <c r="I42" s="13"/>
    </row>
    <row r="43" spans="1:9" s="46" customFormat="1" ht="54.75" customHeight="1" x14ac:dyDescent="0.2">
      <c r="A43" s="150" t="s">
        <v>238</v>
      </c>
      <c r="B43" s="151"/>
      <c r="C43" s="12"/>
      <c r="D43" s="12"/>
      <c r="E43" s="11"/>
      <c r="F43" s="99">
        <v>170000</v>
      </c>
      <c r="G43" s="84"/>
      <c r="H43" s="84"/>
      <c r="I43" s="13"/>
    </row>
    <row r="44" spans="1:9" s="46" customFormat="1" ht="29.45" customHeight="1" x14ac:dyDescent="0.2">
      <c r="A44" s="149" t="s">
        <v>175</v>
      </c>
      <c r="B44" s="149"/>
      <c r="C44" s="12"/>
      <c r="D44" s="12"/>
      <c r="E44" s="11"/>
      <c r="F44" s="99">
        <v>70350</v>
      </c>
      <c r="G44" s="84">
        <v>45350</v>
      </c>
      <c r="H44" s="84">
        <v>45350</v>
      </c>
      <c r="I44" s="13"/>
    </row>
    <row r="45" spans="1:9" s="46" customFormat="1" ht="43.15" customHeight="1" x14ac:dyDescent="0.2">
      <c r="A45" s="149" t="s">
        <v>176</v>
      </c>
      <c r="B45" s="149"/>
      <c r="C45" s="12"/>
      <c r="D45" s="12"/>
      <c r="E45" s="11"/>
      <c r="F45" s="99">
        <v>0</v>
      </c>
      <c r="G45" s="84">
        <v>25100</v>
      </c>
      <c r="H45" s="84">
        <v>22330.32</v>
      </c>
      <c r="I45" s="13"/>
    </row>
    <row r="46" spans="1:9" s="46" customFormat="1" ht="84" customHeight="1" x14ac:dyDescent="0.2">
      <c r="A46" s="147" t="s">
        <v>177</v>
      </c>
      <c r="B46" s="148"/>
      <c r="C46" s="12"/>
      <c r="D46" s="12"/>
      <c r="E46" s="11"/>
      <c r="F46" s="99">
        <v>0</v>
      </c>
      <c r="G46" s="84">
        <v>11600</v>
      </c>
      <c r="H46" s="84">
        <v>8036</v>
      </c>
      <c r="I46" s="13"/>
    </row>
    <row r="47" spans="1:9" s="46" customFormat="1" ht="58.5" customHeight="1" x14ac:dyDescent="0.2">
      <c r="A47" s="147" t="s">
        <v>244</v>
      </c>
      <c r="B47" s="148"/>
      <c r="C47" s="12"/>
      <c r="D47" s="12"/>
      <c r="E47" s="11"/>
      <c r="F47" s="99">
        <v>124690</v>
      </c>
      <c r="G47" s="84"/>
      <c r="H47" s="84"/>
      <c r="I47" s="13"/>
    </row>
    <row r="48" spans="1:9" s="46" customFormat="1" ht="60.75" customHeight="1" x14ac:dyDescent="0.2">
      <c r="A48" s="149" t="s">
        <v>178</v>
      </c>
      <c r="B48" s="149"/>
      <c r="C48" s="12"/>
      <c r="D48" s="12"/>
      <c r="E48" s="11"/>
      <c r="F48" s="99">
        <v>236850</v>
      </c>
      <c r="G48" s="84">
        <v>236850</v>
      </c>
      <c r="H48" s="84">
        <v>236850</v>
      </c>
      <c r="I48" s="13"/>
    </row>
    <row r="49" spans="1:11" s="46" customFormat="1" ht="45" customHeight="1" x14ac:dyDescent="0.2">
      <c r="A49" s="149" t="s">
        <v>192</v>
      </c>
      <c r="B49" s="149"/>
      <c r="C49" s="12"/>
      <c r="D49" s="47"/>
      <c r="E49" s="11"/>
      <c r="F49" s="99">
        <v>1313664.72</v>
      </c>
      <c r="G49" s="84">
        <v>1957200</v>
      </c>
      <c r="H49" s="84">
        <v>1957200</v>
      </c>
      <c r="I49" s="13"/>
    </row>
    <row r="50" spans="1:11" s="46" customFormat="1" ht="45" customHeight="1" x14ac:dyDescent="0.2">
      <c r="A50" s="150" t="s">
        <v>231</v>
      </c>
      <c r="B50" s="151"/>
      <c r="C50" s="12"/>
      <c r="D50" s="47"/>
      <c r="E50" s="11"/>
      <c r="F50" s="99">
        <v>44100</v>
      </c>
      <c r="G50" s="84"/>
      <c r="H50" s="84"/>
      <c r="I50" s="13"/>
    </row>
    <row r="51" spans="1:11" s="46" customFormat="1" ht="55.9" customHeight="1" x14ac:dyDescent="0.2">
      <c r="A51" s="152" t="s">
        <v>201</v>
      </c>
      <c r="B51" s="153"/>
      <c r="C51" s="79"/>
      <c r="D51" s="80"/>
      <c r="E51" s="81"/>
      <c r="F51" s="100">
        <v>4520564.6500000004</v>
      </c>
      <c r="G51" s="84">
        <v>6686413.75</v>
      </c>
      <c r="H51" s="84">
        <v>6482395.7000000002</v>
      </c>
      <c r="I51" s="13"/>
      <c r="J51" s="97"/>
    </row>
    <row r="52" spans="1:11" s="46" customFormat="1" ht="54.6" customHeight="1" x14ac:dyDescent="0.2">
      <c r="A52" s="152" t="s">
        <v>202</v>
      </c>
      <c r="B52" s="153"/>
      <c r="C52" s="79"/>
      <c r="D52" s="80"/>
      <c r="E52" s="81"/>
      <c r="F52" s="100">
        <v>1427543.13</v>
      </c>
      <c r="G52" s="84">
        <v>1860220</v>
      </c>
      <c r="H52" s="84">
        <v>1802579.38</v>
      </c>
      <c r="I52" s="13"/>
    </row>
    <row r="53" spans="1:11" s="46" customFormat="1" ht="55.9" customHeight="1" x14ac:dyDescent="0.2">
      <c r="A53" s="152" t="s">
        <v>203</v>
      </c>
      <c r="B53" s="153"/>
      <c r="C53" s="79"/>
      <c r="D53" s="80"/>
      <c r="E53" s="81"/>
      <c r="F53" s="100">
        <v>183962.21</v>
      </c>
      <c r="G53" s="84">
        <v>264539.09000000003</v>
      </c>
      <c r="H53" s="84">
        <v>256424.28</v>
      </c>
      <c r="I53" s="13"/>
      <c r="J53" s="97"/>
    </row>
    <row r="54" spans="1:11" s="46" customFormat="1" ht="82.9" customHeight="1" x14ac:dyDescent="0.2">
      <c r="A54" s="154" t="s">
        <v>223</v>
      </c>
      <c r="B54" s="155"/>
      <c r="C54" s="79"/>
      <c r="D54" s="80"/>
      <c r="E54" s="81"/>
      <c r="F54" s="100">
        <v>3593560</v>
      </c>
      <c r="G54" s="84">
        <v>3593560</v>
      </c>
      <c r="H54" s="84">
        <v>3593560</v>
      </c>
      <c r="I54" s="13"/>
    </row>
    <row r="55" spans="1:11" s="46" customFormat="1" ht="15" customHeight="1" x14ac:dyDescent="0.2">
      <c r="A55" s="149" t="s">
        <v>180</v>
      </c>
      <c r="B55" s="149"/>
      <c r="C55" s="12" t="s">
        <v>51</v>
      </c>
      <c r="D55" s="12" t="s">
        <v>47</v>
      </c>
      <c r="E55" s="11"/>
      <c r="F55" s="13"/>
      <c r="G55" s="13"/>
      <c r="H55" s="13"/>
      <c r="I55" s="13"/>
    </row>
    <row r="56" spans="1:11" s="46" customFormat="1" ht="26.25" customHeight="1" x14ac:dyDescent="0.2">
      <c r="A56" s="147" t="s">
        <v>179</v>
      </c>
      <c r="B56" s="148"/>
      <c r="C56" s="12" t="s">
        <v>52</v>
      </c>
      <c r="D56" s="12" t="s">
        <v>47</v>
      </c>
      <c r="E56" s="11"/>
      <c r="F56" s="13">
        <v>27191.25</v>
      </c>
      <c r="G56" s="13"/>
      <c r="H56" s="13"/>
      <c r="I56" s="13"/>
    </row>
    <row r="57" spans="1:11" s="46" customFormat="1" ht="15" customHeight="1" x14ac:dyDescent="0.2">
      <c r="A57" s="149" t="s">
        <v>53</v>
      </c>
      <c r="B57" s="149"/>
      <c r="C57" s="12" t="s">
        <v>54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56</v>
      </c>
      <c r="B58" s="149"/>
      <c r="C58" s="12" t="s">
        <v>57</v>
      </c>
      <c r="D58" s="12" t="s">
        <v>55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58</v>
      </c>
      <c r="B59" s="149"/>
      <c r="C59" s="12" t="s">
        <v>59</v>
      </c>
      <c r="D59" s="12" t="s">
        <v>60</v>
      </c>
      <c r="E59" s="11"/>
      <c r="F59" s="13"/>
      <c r="G59" s="13"/>
      <c r="H59" s="13"/>
      <c r="I59" s="13"/>
    </row>
    <row r="60" spans="1:11" s="4" customFormat="1" ht="15" customHeight="1" x14ac:dyDescent="0.2">
      <c r="A60" s="149" t="s">
        <v>61</v>
      </c>
      <c r="B60" s="149"/>
      <c r="C60" s="12" t="s">
        <v>62</v>
      </c>
      <c r="D60" s="12" t="s">
        <v>25</v>
      </c>
      <c r="E60" s="11"/>
      <c r="F60" s="13"/>
      <c r="G60" s="13"/>
      <c r="H60" s="13"/>
      <c r="I60" s="13"/>
    </row>
    <row r="61" spans="1:11" s="4" customFormat="1" ht="38.450000000000003" customHeight="1" x14ac:dyDescent="0.2">
      <c r="A61" s="149" t="s">
        <v>63</v>
      </c>
      <c r="B61" s="149"/>
      <c r="C61" s="12" t="s">
        <v>64</v>
      </c>
      <c r="D61" s="12" t="s">
        <v>65</v>
      </c>
      <c r="E61" s="11"/>
      <c r="F61" s="13"/>
      <c r="G61" s="13"/>
      <c r="H61" s="13"/>
      <c r="I61" s="13" t="s">
        <v>25</v>
      </c>
    </row>
    <row r="62" spans="1:11" s="4" customFormat="1" ht="15" customHeight="1" x14ac:dyDescent="0.2">
      <c r="A62" s="146" t="s">
        <v>66</v>
      </c>
      <c r="B62" s="146"/>
      <c r="C62" s="15" t="s">
        <v>67</v>
      </c>
      <c r="D62" s="15" t="s">
        <v>25</v>
      </c>
      <c r="E62" s="16">
        <v>200</v>
      </c>
      <c r="F62" s="42">
        <f>F63+F73+F80+F84+F91+F93</f>
        <v>56607027.440000005</v>
      </c>
      <c r="G62" s="42">
        <f>G63+G73+G80+G84+G91+G93</f>
        <v>58498779.229999997</v>
      </c>
      <c r="H62" s="42">
        <f>H63+H73+H80+H84+H91+H93</f>
        <v>58200158.549999997</v>
      </c>
      <c r="I62" s="17"/>
    </row>
    <row r="63" spans="1:11" s="4" customFormat="1" ht="27" customHeight="1" x14ac:dyDescent="0.2">
      <c r="A63" s="126" t="s">
        <v>68</v>
      </c>
      <c r="B63" s="126"/>
      <c r="C63" s="21">
        <v>2100</v>
      </c>
      <c r="D63" s="15" t="s">
        <v>25</v>
      </c>
      <c r="E63" s="21"/>
      <c r="F63" s="44">
        <f>F64+F65+F66+F67+F68+F69+F71</f>
        <v>39190629.840000004</v>
      </c>
      <c r="G63" s="44">
        <f>G64+G65+G66+G67+G68+G69+G71</f>
        <v>39194949.539999999</v>
      </c>
      <c r="H63" s="44">
        <f>H64+H65+H66+H67+H68+H69+H71</f>
        <v>39194949.539999999</v>
      </c>
      <c r="I63" s="22" t="s">
        <v>25</v>
      </c>
    </row>
    <row r="64" spans="1:11" s="4" customFormat="1" ht="25.5" customHeight="1" x14ac:dyDescent="0.2">
      <c r="A64" s="126" t="s">
        <v>69</v>
      </c>
      <c r="B64" s="126"/>
      <c r="C64" s="21">
        <v>2110</v>
      </c>
      <c r="D64" s="21">
        <v>111</v>
      </c>
      <c r="E64" s="21"/>
      <c r="F64" s="22">
        <v>30097644.260000002</v>
      </c>
      <c r="G64" s="22">
        <f>82949.31+27221908.24+90000+76804.92+2760030.72-130733.49</f>
        <v>30100959.699999999</v>
      </c>
      <c r="H64" s="22">
        <f>82949.31+27221908.24+90000+76804.92+2760030.72-130733.49</f>
        <v>30100959.699999999</v>
      </c>
      <c r="I64" s="22" t="s">
        <v>25</v>
      </c>
      <c r="K64" s="90"/>
    </row>
    <row r="65" spans="1:11" s="4" customFormat="1" ht="15" customHeight="1" x14ac:dyDescent="0.2">
      <c r="A65" s="126" t="s">
        <v>70</v>
      </c>
      <c r="B65" s="126"/>
      <c r="C65" s="21">
        <v>2120</v>
      </c>
      <c r="D65" s="21">
        <v>112</v>
      </c>
      <c r="E65" s="21"/>
      <c r="F65" s="22">
        <v>3500</v>
      </c>
      <c r="G65" s="22">
        <v>3500</v>
      </c>
      <c r="H65" s="22">
        <v>3500</v>
      </c>
      <c r="I65" s="22" t="s">
        <v>25</v>
      </c>
      <c r="K65" s="90"/>
    </row>
    <row r="66" spans="1:11" s="4" customFormat="1" ht="28.5" customHeight="1" x14ac:dyDescent="0.2">
      <c r="A66" s="126" t="s">
        <v>71</v>
      </c>
      <c r="B66" s="126"/>
      <c r="C66" s="21">
        <v>2130</v>
      </c>
      <c r="D66" s="21">
        <v>113</v>
      </c>
      <c r="E66" s="21"/>
      <c r="F66" s="22"/>
      <c r="G66" s="22"/>
      <c r="H66" s="22"/>
      <c r="I66" s="22" t="s">
        <v>25</v>
      </c>
      <c r="K66" s="90"/>
    </row>
    <row r="67" spans="1:11" s="4" customFormat="1" ht="28.9" customHeight="1" x14ac:dyDescent="0.2">
      <c r="A67" s="126" t="s">
        <v>72</v>
      </c>
      <c r="B67" s="126"/>
      <c r="C67" s="21">
        <v>2140</v>
      </c>
      <c r="D67" s="21">
        <v>119</v>
      </c>
      <c r="E67" s="21"/>
      <c r="F67" s="22">
        <v>9089485.5800000001</v>
      </c>
      <c r="G67" s="22">
        <f>25050.69+8248196.3+23195.08+833529.28-39481.51</f>
        <v>9090489.8399999999</v>
      </c>
      <c r="H67" s="22">
        <f>25050.69+8248196.3+23195.08+833529.28-39481.51</f>
        <v>9090489.8399999999</v>
      </c>
      <c r="I67" s="22" t="s">
        <v>25</v>
      </c>
    </row>
    <row r="68" spans="1:11" s="4" customFormat="1" ht="16.899999999999999" customHeight="1" x14ac:dyDescent="0.2">
      <c r="A68" s="126" t="s">
        <v>73</v>
      </c>
      <c r="B68" s="126"/>
      <c r="C68" s="21">
        <v>2150</v>
      </c>
      <c r="D68" s="21">
        <v>131</v>
      </c>
      <c r="E68" s="21"/>
      <c r="F68" s="22"/>
      <c r="G68" s="22"/>
      <c r="H68" s="22"/>
      <c r="I68" s="22" t="s">
        <v>25</v>
      </c>
    </row>
    <row r="69" spans="1:11" s="4" customFormat="1" ht="27" customHeight="1" x14ac:dyDescent="0.2">
      <c r="A69" s="126" t="s">
        <v>74</v>
      </c>
      <c r="B69" s="126"/>
      <c r="C69" s="21">
        <v>2160</v>
      </c>
      <c r="D69" s="21">
        <v>133</v>
      </c>
      <c r="E69" s="21"/>
      <c r="F69" s="22"/>
      <c r="G69" s="22"/>
      <c r="H69" s="22"/>
      <c r="I69" s="22" t="s">
        <v>25</v>
      </c>
    </row>
    <row r="70" spans="1:11" s="4" customFormat="1" ht="15.75" customHeight="1" x14ac:dyDescent="0.2">
      <c r="A70" s="126" t="s">
        <v>75</v>
      </c>
      <c r="B70" s="126"/>
      <c r="C70" s="21">
        <v>2170</v>
      </c>
      <c r="D70" s="21">
        <v>134</v>
      </c>
      <c r="E70" s="21"/>
      <c r="F70" s="22"/>
      <c r="G70" s="22"/>
      <c r="H70" s="22"/>
      <c r="I70" s="22"/>
    </row>
    <row r="71" spans="1:11" s="4" customFormat="1" ht="30.75" customHeight="1" x14ac:dyDescent="0.2">
      <c r="A71" s="126" t="s">
        <v>76</v>
      </c>
      <c r="B71" s="126"/>
      <c r="C71" s="21">
        <v>2180</v>
      </c>
      <c r="D71" s="21">
        <v>139</v>
      </c>
      <c r="E71" s="21"/>
      <c r="F71" s="44">
        <f>F72</f>
        <v>0</v>
      </c>
      <c r="G71" s="44">
        <f>G72</f>
        <v>0</v>
      </c>
      <c r="H71" s="44">
        <f>H72</f>
        <v>0</v>
      </c>
      <c r="I71" s="22" t="s">
        <v>25</v>
      </c>
    </row>
    <row r="72" spans="1:11" s="4" customFormat="1" ht="25.5" customHeight="1" x14ac:dyDescent="0.2">
      <c r="A72" s="126" t="s">
        <v>77</v>
      </c>
      <c r="B72" s="126"/>
      <c r="C72" s="21">
        <v>2181</v>
      </c>
      <c r="D72" s="21">
        <v>139</v>
      </c>
      <c r="E72" s="21"/>
      <c r="F72" s="22"/>
      <c r="G72" s="22"/>
      <c r="H72" s="22"/>
      <c r="I72" s="22" t="s">
        <v>25</v>
      </c>
    </row>
    <row r="73" spans="1:11" s="76" customFormat="1" ht="15" customHeight="1" x14ac:dyDescent="0.2">
      <c r="A73" s="141" t="s">
        <v>78</v>
      </c>
      <c r="B73" s="141"/>
      <c r="C73" s="25">
        <v>2200</v>
      </c>
      <c r="D73" s="25">
        <v>300</v>
      </c>
      <c r="E73" s="25"/>
      <c r="F73" s="45">
        <f>F74+F77+F78+F79</f>
        <v>0</v>
      </c>
      <c r="G73" s="45">
        <f>G74+G77+G78+G79</f>
        <v>0</v>
      </c>
      <c r="H73" s="45">
        <f>H74+H77+H78+H79</f>
        <v>0</v>
      </c>
      <c r="I73" s="26" t="s">
        <v>25</v>
      </c>
    </row>
    <row r="74" spans="1:11" s="4" customFormat="1" ht="24.6" customHeight="1" x14ac:dyDescent="0.2">
      <c r="A74" s="126" t="s">
        <v>79</v>
      </c>
      <c r="B74" s="126"/>
      <c r="C74" s="21">
        <v>2210</v>
      </c>
      <c r="D74" s="21">
        <v>320</v>
      </c>
      <c r="E74" s="21"/>
      <c r="F74" s="44">
        <f>SUM(F75:F76)</f>
        <v>0</v>
      </c>
      <c r="G74" s="44">
        <f>SUM(G75:G75)</f>
        <v>0</v>
      </c>
      <c r="H74" s="44">
        <f>SUM(H75:H75)</f>
        <v>0</v>
      </c>
      <c r="I74" s="22" t="s">
        <v>25</v>
      </c>
    </row>
    <row r="75" spans="1:11" s="4" customFormat="1" ht="36.6" customHeight="1" x14ac:dyDescent="0.2">
      <c r="A75" s="126" t="s">
        <v>80</v>
      </c>
      <c r="B75" s="126"/>
      <c r="C75" s="21">
        <v>2211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15.6" customHeight="1" x14ac:dyDescent="0.2">
      <c r="A76" s="139" t="s">
        <v>181</v>
      </c>
      <c r="B76" s="140"/>
      <c r="C76" s="21">
        <v>2212</v>
      </c>
      <c r="D76" s="21">
        <v>321</v>
      </c>
      <c r="E76" s="21"/>
      <c r="F76" s="22"/>
      <c r="G76" s="22"/>
      <c r="H76" s="22"/>
      <c r="I76" s="22" t="s">
        <v>25</v>
      </c>
    </row>
    <row r="77" spans="1:11" s="4" customFormat="1" ht="25.9" customHeight="1" x14ac:dyDescent="0.2">
      <c r="A77" s="126" t="s">
        <v>81</v>
      </c>
      <c r="B77" s="126"/>
      <c r="C77" s="21">
        <v>2220</v>
      </c>
      <c r="D77" s="21">
        <v>340</v>
      </c>
      <c r="E77" s="21"/>
      <c r="F77" s="22"/>
      <c r="G77" s="22"/>
      <c r="H77" s="22"/>
      <c r="I77" s="22" t="s">
        <v>25</v>
      </c>
    </row>
    <row r="78" spans="1:11" s="4" customFormat="1" ht="39" customHeight="1" x14ac:dyDescent="0.2">
      <c r="A78" s="126" t="s">
        <v>82</v>
      </c>
      <c r="B78" s="126"/>
      <c r="C78" s="21">
        <v>2230</v>
      </c>
      <c r="D78" s="21">
        <v>350</v>
      </c>
      <c r="E78" s="21"/>
      <c r="F78" s="22"/>
      <c r="G78" s="22"/>
      <c r="H78" s="22"/>
      <c r="I78" s="22" t="s">
        <v>25</v>
      </c>
    </row>
    <row r="79" spans="1:11" s="4" customFormat="1" ht="16.149999999999999" customHeight="1" x14ac:dyDescent="0.2">
      <c r="A79" s="126" t="s">
        <v>83</v>
      </c>
      <c r="B79" s="126"/>
      <c r="C79" s="21">
        <v>2240</v>
      </c>
      <c r="D79" s="21">
        <v>360</v>
      </c>
      <c r="E79" s="21"/>
      <c r="F79" s="22"/>
      <c r="G79" s="22"/>
      <c r="H79" s="22"/>
      <c r="I79" s="22" t="s">
        <v>25</v>
      </c>
    </row>
    <row r="80" spans="1:11" s="76" customFormat="1" ht="15" customHeight="1" x14ac:dyDescent="0.2">
      <c r="A80" s="141" t="s">
        <v>84</v>
      </c>
      <c r="B80" s="141"/>
      <c r="C80" s="25">
        <v>2300</v>
      </c>
      <c r="D80" s="25">
        <v>850</v>
      </c>
      <c r="E80" s="25"/>
      <c r="F80" s="45">
        <f>SUM(F81:F83)</f>
        <v>102009.52</v>
      </c>
      <c r="G80" s="45">
        <f>SUM(G81:G83)</f>
        <v>100225</v>
      </c>
      <c r="H80" s="45">
        <f>SUM(H81:H83)</f>
        <v>100225</v>
      </c>
      <c r="I80" s="26" t="s">
        <v>25</v>
      </c>
    </row>
    <row r="81" spans="1:9" s="4" customFormat="1" ht="24" customHeight="1" x14ac:dyDescent="0.2">
      <c r="A81" s="126" t="s">
        <v>85</v>
      </c>
      <c r="B81" s="126"/>
      <c r="C81" s="21">
        <v>2310</v>
      </c>
      <c r="D81" s="21">
        <v>851</v>
      </c>
      <c r="E81" s="21"/>
      <c r="F81" s="22">
        <v>84040</v>
      </c>
      <c r="G81" s="22">
        <v>87400</v>
      </c>
      <c r="H81" s="22">
        <v>87400</v>
      </c>
      <c r="I81" s="22" t="s">
        <v>25</v>
      </c>
    </row>
    <row r="82" spans="1:9" s="4" customFormat="1" ht="30" customHeight="1" x14ac:dyDescent="0.2">
      <c r="A82" s="126" t="s">
        <v>86</v>
      </c>
      <c r="B82" s="126"/>
      <c r="C82" s="21">
        <v>2320</v>
      </c>
      <c r="D82" s="21">
        <v>852</v>
      </c>
      <c r="E82" s="21"/>
      <c r="F82" s="22">
        <v>0</v>
      </c>
      <c r="G82" s="22"/>
      <c r="H82" s="22"/>
      <c r="I82" s="22" t="s">
        <v>25</v>
      </c>
    </row>
    <row r="83" spans="1:9" s="4" customFormat="1" ht="13.5" customHeight="1" x14ac:dyDescent="0.2">
      <c r="A83" s="126" t="s">
        <v>87</v>
      </c>
      <c r="B83" s="126"/>
      <c r="C83" s="21">
        <v>2330</v>
      </c>
      <c r="D83" s="21">
        <v>853</v>
      </c>
      <c r="E83" s="21"/>
      <c r="F83" s="22">
        <v>17969.52</v>
      </c>
      <c r="G83" s="22">
        <v>12825</v>
      </c>
      <c r="H83" s="22">
        <v>12825</v>
      </c>
      <c r="I83" s="22" t="s">
        <v>25</v>
      </c>
    </row>
    <row r="84" spans="1:9" s="4" customFormat="1" ht="13.5" customHeight="1" x14ac:dyDescent="0.2">
      <c r="A84" s="126" t="s">
        <v>88</v>
      </c>
      <c r="B84" s="126"/>
      <c r="C84" s="21">
        <v>2400</v>
      </c>
      <c r="D84" s="21" t="s">
        <v>25</v>
      </c>
      <c r="E84" s="21"/>
      <c r="F84" s="44">
        <f>SUM(F85:F87)</f>
        <v>0</v>
      </c>
      <c r="G84" s="44">
        <f>SUM(G85:G87)</f>
        <v>0</v>
      </c>
      <c r="H84" s="44">
        <f>SUM(H85:H87)</f>
        <v>0</v>
      </c>
      <c r="I84" s="22" t="s">
        <v>25</v>
      </c>
    </row>
    <row r="85" spans="1:9" s="4" customFormat="1" ht="21.6" customHeight="1" x14ac:dyDescent="0.2">
      <c r="A85" s="126" t="s">
        <v>89</v>
      </c>
      <c r="B85" s="126"/>
      <c r="C85" s="21">
        <v>2410</v>
      </c>
      <c r="D85" s="21">
        <v>613</v>
      </c>
      <c r="E85" s="21"/>
      <c r="F85" s="22"/>
      <c r="G85" s="22"/>
      <c r="H85" s="22"/>
      <c r="I85" s="22" t="s">
        <v>25</v>
      </c>
    </row>
    <row r="86" spans="1:9" s="4" customFormat="1" ht="15" customHeight="1" x14ac:dyDescent="0.2">
      <c r="A86" s="126" t="s">
        <v>90</v>
      </c>
      <c r="B86" s="126"/>
      <c r="C86" s="21">
        <v>2420</v>
      </c>
      <c r="D86" s="21">
        <v>623</v>
      </c>
      <c r="E86" s="21"/>
      <c r="F86" s="22"/>
      <c r="G86" s="22"/>
      <c r="H86" s="22"/>
      <c r="I86" s="22" t="s">
        <v>25</v>
      </c>
    </row>
    <row r="87" spans="1:9" s="4" customFormat="1" ht="30" customHeight="1" x14ac:dyDescent="0.2">
      <c r="A87" s="126" t="s">
        <v>91</v>
      </c>
      <c r="B87" s="126"/>
      <c r="C87" s="21">
        <v>2430</v>
      </c>
      <c r="D87" s="21">
        <v>634</v>
      </c>
      <c r="E87" s="21"/>
      <c r="F87" s="22"/>
      <c r="G87" s="22"/>
      <c r="H87" s="22"/>
      <c r="I87" s="22" t="s">
        <v>25</v>
      </c>
    </row>
    <row r="88" spans="1:9" s="4" customFormat="1" ht="16.899999999999999" customHeight="1" x14ac:dyDescent="0.2">
      <c r="A88" s="139" t="s">
        <v>92</v>
      </c>
      <c r="B88" s="140"/>
      <c r="C88" s="21">
        <v>2440</v>
      </c>
      <c r="D88" s="21">
        <v>810</v>
      </c>
      <c r="E88" s="21"/>
      <c r="F88" s="22"/>
      <c r="G88" s="22"/>
      <c r="H88" s="22"/>
      <c r="I88" s="22"/>
    </row>
    <row r="89" spans="1:9" s="4" customFormat="1" ht="16.899999999999999" customHeight="1" x14ac:dyDescent="0.2">
      <c r="A89" s="139" t="s">
        <v>93</v>
      </c>
      <c r="B89" s="140"/>
      <c r="C89" s="21">
        <v>2450</v>
      </c>
      <c r="D89" s="21">
        <v>862</v>
      </c>
      <c r="E89" s="21"/>
      <c r="F89" s="22"/>
      <c r="G89" s="22"/>
      <c r="H89" s="22"/>
      <c r="I89" s="22"/>
    </row>
    <row r="90" spans="1:9" s="4" customFormat="1" ht="30.75" customHeight="1" x14ac:dyDescent="0.2">
      <c r="A90" s="139" t="s">
        <v>94</v>
      </c>
      <c r="B90" s="140"/>
      <c r="C90" s="21">
        <v>2460</v>
      </c>
      <c r="D90" s="21">
        <v>863</v>
      </c>
      <c r="E90" s="21"/>
      <c r="F90" s="22"/>
      <c r="G90" s="22"/>
      <c r="H90" s="22"/>
      <c r="I90" s="22"/>
    </row>
    <row r="91" spans="1:9" s="4" customFormat="1" ht="15" customHeight="1" x14ac:dyDescent="0.2">
      <c r="A91" s="126" t="s">
        <v>95</v>
      </c>
      <c r="B91" s="126"/>
      <c r="C91" s="21">
        <v>2500</v>
      </c>
      <c r="D91" s="21" t="s">
        <v>25</v>
      </c>
      <c r="E91" s="21"/>
      <c r="F91" s="44">
        <f>F92</f>
        <v>0</v>
      </c>
      <c r="G91" s="44">
        <f>G92</f>
        <v>0</v>
      </c>
      <c r="H91" s="44">
        <f>H92</f>
        <v>0</v>
      </c>
      <c r="I91" s="22" t="s">
        <v>25</v>
      </c>
    </row>
    <row r="92" spans="1:9" s="4" customFormat="1" ht="31.5" customHeight="1" x14ac:dyDescent="0.2">
      <c r="A92" s="126" t="s">
        <v>96</v>
      </c>
      <c r="B92" s="126"/>
      <c r="C92" s="21">
        <v>2520</v>
      </c>
      <c r="D92" s="21">
        <v>831</v>
      </c>
      <c r="E92" s="21"/>
      <c r="F92" s="22"/>
      <c r="G92" s="22"/>
      <c r="H92" s="22"/>
      <c r="I92" s="22" t="s">
        <v>25</v>
      </c>
    </row>
    <row r="93" spans="1:9" s="76" customFormat="1" ht="15" customHeight="1" x14ac:dyDescent="0.2">
      <c r="A93" s="141" t="s">
        <v>97</v>
      </c>
      <c r="B93" s="141"/>
      <c r="C93" s="25">
        <v>2600</v>
      </c>
      <c r="D93" s="25" t="s">
        <v>25</v>
      </c>
      <c r="E93" s="25"/>
      <c r="F93" s="45">
        <f>F94+F95+F96+F108+F105</f>
        <v>17314388.079999998</v>
      </c>
      <c r="G93" s="45">
        <f>G94+G95+G96+G108+G105</f>
        <v>19203604.689999998</v>
      </c>
      <c r="H93" s="45">
        <f>H94+H95+H96+H108+H105</f>
        <v>18904984.009999998</v>
      </c>
      <c r="I93" s="26"/>
    </row>
    <row r="94" spans="1:9" s="4" customFormat="1" ht="30" customHeight="1" x14ac:dyDescent="0.2">
      <c r="A94" s="126" t="s">
        <v>98</v>
      </c>
      <c r="B94" s="126"/>
      <c r="C94" s="21">
        <v>2610</v>
      </c>
      <c r="D94" s="21">
        <v>241</v>
      </c>
      <c r="E94" s="21"/>
      <c r="F94" s="22"/>
      <c r="G94" s="22"/>
      <c r="H94" s="22"/>
      <c r="I94" s="22"/>
    </row>
    <row r="95" spans="1:9" s="4" customFormat="1" ht="27.75" customHeight="1" x14ac:dyDescent="0.2">
      <c r="A95" s="126" t="s">
        <v>99</v>
      </c>
      <c r="B95" s="126"/>
      <c r="C95" s="21">
        <v>2630</v>
      </c>
      <c r="D95" s="21">
        <v>243</v>
      </c>
      <c r="E95" s="21"/>
      <c r="F95" s="22"/>
      <c r="G95" s="22"/>
      <c r="H95" s="22"/>
      <c r="I95" s="22"/>
    </row>
    <row r="96" spans="1:9" s="76" customFormat="1" ht="15" customHeight="1" x14ac:dyDescent="0.2">
      <c r="A96" s="141" t="s">
        <v>100</v>
      </c>
      <c r="B96" s="141"/>
      <c r="C96" s="25">
        <v>2640</v>
      </c>
      <c r="D96" s="25">
        <v>244</v>
      </c>
      <c r="E96" s="25"/>
      <c r="F96" s="45">
        <f>SUM(F97:F104)</f>
        <v>14756665.419999998</v>
      </c>
      <c r="G96" s="45">
        <f>SUM(G97:G103)</f>
        <v>16852416.689999998</v>
      </c>
      <c r="H96" s="45">
        <f>SUM(H97:H103)</f>
        <v>16553796.009999998</v>
      </c>
      <c r="I96" s="26"/>
    </row>
    <row r="97" spans="1:9" s="4" customFormat="1" ht="14.45" customHeight="1" x14ac:dyDescent="0.2">
      <c r="A97" s="144" t="s">
        <v>101</v>
      </c>
      <c r="B97" s="145"/>
      <c r="C97" s="21"/>
      <c r="D97" s="23"/>
      <c r="E97" s="21"/>
      <c r="F97" s="22"/>
      <c r="G97" s="22"/>
      <c r="H97" s="22"/>
      <c r="I97" s="22"/>
    </row>
    <row r="98" spans="1:9" s="4" customFormat="1" ht="16.149999999999999" customHeight="1" x14ac:dyDescent="0.2">
      <c r="A98" s="126" t="s">
        <v>102</v>
      </c>
      <c r="B98" s="126"/>
      <c r="C98" s="21">
        <v>2641</v>
      </c>
      <c r="D98" s="23" t="s">
        <v>103</v>
      </c>
      <c r="E98" s="21"/>
      <c r="F98" s="22">
        <v>611839.01</v>
      </c>
      <c r="G98" s="22">
        <v>234490.45</v>
      </c>
      <c r="H98" s="22">
        <v>234490.45</v>
      </c>
      <c r="I98" s="22"/>
    </row>
    <row r="99" spans="1:9" s="4" customFormat="1" ht="13.15" customHeight="1" x14ac:dyDescent="0.2">
      <c r="A99" s="126" t="s">
        <v>104</v>
      </c>
      <c r="B99" s="126"/>
      <c r="C99" s="21">
        <v>2642</v>
      </c>
      <c r="D99" s="23" t="s">
        <v>103</v>
      </c>
      <c r="E99" s="21"/>
      <c r="F99" s="22">
        <f>30000+294220.46</f>
        <v>324220.46000000002</v>
      </c>
      <c r="G99" s="22">
        <v>290000</v>
      </c>
      <c r="H99" s="22">
        <v>290000</v>
      </c>
      <c r="I99" s="22"/>
    </row>
    <row r="100" spans="1:9" s="4" customFormat="1" ht="15" customHeight="1" x14ac:dyDescent="0.2">
      <c r="A100" s="144" t="s">
        <v>105</v>
      </c>
      <c r="B100" s="145"/>
      <c r="C100" s="24">
        <v>2643</v>
      </c>
      <c r="D100" s="23" t="s">
        <v>103</v>
      </c>
      <c r="E100" s="21"/>
      <c r="F100" s="22">
        <v>608532.81000000006</v>
      </c>
      <c r="G100" s="22">
        <f>273209.72+50000</f>
        <v>323209.71999999997</v>
      </c>
      <c r="H100" s="22">
        <f>273209.72+50000</f>
        <v>323209.71999999997</v>
      </c>
      <c r="I100" s="22"/>
    </row>
    <row r="101" spans="1:9" s="4" customFormat="1" ht="14.45" customHeight="1" x14ac:dyDescent="0.2">
      <c r="A101" s="126" t="s">
        <v>106</v>
      </c>
      <c r="B101" s="126"/>
      <c r="C101" s="21">
        <v>2644</v>
      </c>
      <c r="D101" s="23" t="s">
        <v>103</v>
      </c>
      <c r="E101" s="21"/>
      <c r="F101" s="22">
        <v>9589519.0399999991</v>
      </c>
      <c r="G101" s="22">
        <f>535232.88+1799245.32+205000+8792949.77+45350+25100+11600+236850+18223.07</f>
        <v>11669551.039999999</v>
      </c>
      <c r="H101" s="22">
        <f>535232.88+1799245.32+205000+45350+22330.32+8036+236850+8541399.36</f>
        <v>11393443.879999999</v>
      </c>
      <c r="I101" s="22"/>
    </row>
    <row r="102" spans="1:9" s="4" customFormat="1" ht="16.149999999999999" customHeight="1" x14ac:dyDescent="0.2">
      <c r="A102" s="126" t="s">
        <v>107</v>
      </c>
      <c r="B102" s="126"/>
      <c r="C102" s="24">
        <v>2645</v>
      </c>
      <c r="D102" s="23" t="s">
        <v>103</v>
      </c>
      <c r="E102" s="21"/>
      <c r="F102" s="22">
        <v>2817731.59</v>
      </c>
      <c r="G102" s="22">
        <f>1857200+1500000</f>
        <v>3357200</v>
      </c>
      <c r="H102" s="22">
        <f>1857200+1500000</f>
        <v>3357200</v>
      </c>
      <c r="I102" s="22"/>
    </row>
    <row r="103" spans="1:9" s="4" customFormat="1" ht="13.9" customHeight="1" x14ac:dyDescent="0.2">
      <c r="A103" s="126" t="s">
        <v>108</v>
      </c>
      <c r="B103" s="126"/>
      <c r="C103" s="24">
        <v>2646</v>
      </c>
      <c r="D103" s="23" t="s">
        <v>103</v>
      </c>
      <c r="E103" s="21"/>
      <c r="F103" s="22">
        <v>804822.51</v>
      </c>
      <c r="G103" s="22">
        <f>20665.48+62000+654400+300000+22000+25000-106100</f>
        <v>977965.48</v>
      </c>
      <c r="H103" s="22">
        <f>20665.48+62000+654400+300000+22000+25000-128613.52</f>
        <v>955451.96</v>
      </c>
      <c r="I103" s="22"/>
    </row>
    <row r="104" spans="1:9" s="4" customFormat="1" ht="10.15" customHeight="1" x14ac:dyDescent="0.2">
      <c r="A104" s="139"/>
      <c r="B104" s="140"/>
      <c r="C104" s="24"/>
      <c r="D104" s="23"/>
      <c r="E104" s="21"/>
      <c r="F104" s="22"/>
      <c r="G104" s="22"/>
      <c r="H104" s="22"/>
      <c r="I104" s="22"/>
    </row>
    <row r="105" spans="1:9" s="76" customFormat="1" ht="17.45" customHeight="1" x14ac:dyDescent="0.2">
      <c r="A105" s="142" t="s">
        <v>211</v>
      </c>
      <c r="B105" s="143" t="s">
        <v>211</v>
      </c>
      <c r="C105" s="74">
        <v>2660</v>
      </c>
      <c r="D105" s="75" t="s">
        <v>212</v>
      </c>
      <c r="E105" s="25"/>
      <c r="F105" s="77">
        <f>F107</f>
        <v>2557722.66</v>
      </c>
      <c r="G105" s="77">
        <f>G107</f>
        <v>2351188</v>
      </c>
      <c r="H105" s="77">
        <f>H107</f>
        <v>2351188</v>
      </c>
      <c r="I105" s="26"/>
    </row>
    <row r="106" spans="1:9" s="4" customFormat="1" ht="17.45" customHeight="1" x14ac:dyDescent="0.2">
      <c r="A106" s="144" t="s">
        <v>50</v>
      </c>
      <c r="B106" s="145" t="s">
        <v>50</v>
      </c>
      <c r="C106" s="24"/>
      <c r="D106" s="23"/>
      <c r="E106" s="21"/>
      <c r="F106" s="22"/>
      <c r="G106" s="22"/>
      <c r="H106" s="22"/>
      <c r="I106" s="22"/>
    </row>
    <row r="107" spans="1:9" s="4" customFormat="1" ht="17.45" customHeight="1" x14ac:dyDescent="0.2">
      <c r="A107" s="144" t="s">
        <v>104</v>
      </c>
      <c r="B107" s="145" t="s">
        <v>104</v>
      </c>
      <c r="C107" s="24">
        <v>2661</v>
      </c>
      <c r="D107" s="23" t="s">
        <v>212</v>
      </c>
      <c r="E107" s="21"/>
      <c r="F107" s="22">
        <f>400439.67+2157282.99</f>
        <v>2557722.66</v>
      </c>
      <c r="G107" s="22">
        <v>2351188</v>
      </c>
      <c r="H107" s="22">
        <v>2351188</v>
      </c>
      <c r="I107" s="22"/>
    </row>
    <row r="108" spans="1:9" s="4" customFormat="1" ht="21.6" customHeight="1" x14ac:dyDescent="0.2">
      <c r="A108" s="139" t="s">
        <v>109</v>
      </c>
      <c r="B108" s="140"/>
      <c r="C108" s="21">
        <v>2650</v>
      </c>
      <c r="D108" s="21">
        <v>400</v>
      </c>
      <c r="E108" s="21"/>
      <c r="F108" s="22">
        <f>F109+F110</f>
        <v>0</v>
      </c>
      <c r="G108" s="22">
        <f>G109+G110</f>
        <v>0</v>
      </c>
      <c r="H108" s="22">
        <f>H109+H110</f>
        <v>0</v>
      </c>
      <c r="I108" s="22">
        <f>I109+I110</f>
        <v>0</v>
      </c>
    </row>
    <row r="109" spans="1:9" s="4" customFormat="1" ht="37.9" customHeight="1" x14ac:dyDescent="0.2">
      <c r="A109" s="139" t="s">
        <v>110</v>
      </c>
      <c r="B109" s="140"/>
      <c r="C109" s="21">
        <v>2651</v>
      </c>
      <c r="D109" s="21">
        <v>406</v>
      </c>
      <c r="E109" s="21"/>
      <c r="F109" s="22"/>
      <c r="G109" s="22"/>
      <c r="H109" s="22"/>
      <c r="I109" s="22"/>
    </row>
    <row r="110" spans="1:9" s="4" customFormat="1" ht="30" customHeight="1" x14ac:dyDescent="0.2">
      <c r="A110" s="139" t="s">
        <v>111</v>
      </c>
      <c r="B110" s="140"/>
      <c r="C110" s="21">
        <v>2652</v>
      </c>
      <c r="D110" s="21">
        <v>407</v>
      </c>
      <c r="E110" s="21"/>
      <c r="F110" s="22"/>
      <c r="G110" s="22"/>
      <c r="H110" s="22"/>
      <c r="I110" s="22"/>
    </row>
    <row r="111" spans="1:9" s="4" customFormat="1" ht="15" customHeight="1" x14ac:dyDescent="0.2">
      <c r="A111" s="141" t="s">
        <v>112</v>
      </c>
      <c r="B111" s="141"/>
      <c r="C111" s="25">
        <v>3000</v>
      </c>
      <c r="D111" s="25">
        <v>100</v>
      </c>
      <c r="E111" s="21"/>
      <c r="F111" s="45">
        <f>SUM(F112:F114)</f>
        <v>0</v>
      </c>
      <c r="G111" s="45">
        <f>SUM(G112:G114)</f>
        <v>0</v>
      </c>
      <c r="H111" s="45">
        <f>SUM(H112:H114)</f>
        <v>0</v>
      </c>
      <c r="I111" s="26" t="s">
        <v>25</v>
      </c>
    </row>
    <row r="112" spans="1:9" s="4" customFormat="1" ht="26.25" customHeight="1" x14ac:dyDescent="0.2">
      <c r="A112" s="126" t="s">
        <v>113</v>
      </c>
      <c r="B112" s="126"/>
      <c r="C112" s="21">
        <v>3010</v>
      </c>
      <c r="D112" s="21"/>
      <c r="E112" s="25"/>
      <c r="F112" s="22"/>
      <c r="G112" s="22"/>
      <c r="H112" s="22"/>
      <c r="I112" s="22" t="s">
        <v>25</v>
      </c>
    </row>
    <row r="113" spans="1:9" s="4" customFormat="1" ht="15" customHeight="1" x14ac:dyDescent="0.2">
      <c r="A113" s="126" t="s">
        <v>114</v>
      </c>
      <c r="B113" s="126"/>
      <c r="C113" s="21">
        <v>3020</v>
      </c>
      <c r="D113" s="21"/>
      <c r="E113" s="21"/>
      <c r="F113" s="22"/>
      <c r="G113" s="22"/>
      <c r="H113" s="22"/>
      <c r="I113" s="22" t="s">
        <v>25</v>
      </c>
    </row>
    <row r="114" spans="1:9" s="4" customFormat="1" ht="15" customHeight="1" x14ac:dyDescent="0.2">
      <c r="A114" s="126" t="s">
        <v>115</v>
      </c>
      <c r="B114" s="126"/>
      <c r="C114" s="21">
        <v>3030</v>
      </c>
      <c r="D114" s="21"/>
      <c r="E114" s="21"/>
      <c r="F114" s="22"/>
      <c r="G114" s="22"/>
      <c r="H114" s="22"/>
      <c r="I114" s="22" t="s">
        <v>25</v>
      </c>
    </row>
    <row r="115" spans="1:9" s="4" customFormat="1" ht="15" customHeight="1" x14ac:dyDescent="0.2">
      <c r="A115" s="141" t="s">
        <v>116</v>
      </c>
      <c r="B115" s="141"/>
      <c r="C115" s="25">
        <v>4000</v>
      </c>
      <c r="D115" s="25" t="s">
        <v>25</v>
      </c>
      <c r="E115" s="21"/>
      <c r="F115" s="45">
        <f>F116</f>
        <v>472086.57</v>
      </c>
      <c r="G115" s="26">
        <f>G116</f>
        <v>0</v>
      </c>
      <c r="H115" s="26">
        <f>H116</f>
        <v>0</v>
      </c>
      <c r="I115" s="26" t="s">
        <v>25</v>
      </c>
    </row>
    <row r="116" spans="1:9" s="4" customFormat="1" ht="25.5" customHeight="1" x14ac:dyDescent="0.2">
      <c r="A116" s="126" t="s">
        <v>117</v>
      </c>
      <c r="B116" s="126"/>
      <c r="C116" s="21">
        <v>4010</v>
      </c>
      <c r="D116" s="21">
        <v>610</v>
      </c>
      <c r="E116" s="25"/>
      <c r="F116" s="22">
        <f>378548.25+72228.32+21310</f>
        <v>472086.57</v>
      </c>
      <c r="G116" s="22"/>
      <c r="H116" s="22"/>
      <c r="I116" s="22" t="s">
        <v>25</v>
      </c>
    </row>
    <row r="117" spans="1:9" s="4" customFormat="1" ht="9.6" customHeight="1" x14ac:dyDescent="0.2">
      <c r="A117" s="27"/>
      <c r="B117" s="28"/>
      <c r="C117" s="29"/>
      <c r="D117" s="29"/>
      <c r="E117" s="30"/>
      <c r="F117" s="31"/>
      <c r="G117" s="31"/>
      <c r="H117" s="31"/>
      <c r="I117" s="31"/>
    </row>
    <row r="118" spans="1:9" x14ac:dyDescent="0.25">
      <c r="A118" s="127" t="s">
        <v>118</v>
      </c>
      <c r="B118" s="127"/>
      <c r="C118" s="127"/>
      <c r="D118" s="127"/>
      <c r="E118" s="127"/>
      <c r="F118" s="127"/>
      <c r="G118" s="127"/>
      <c r="H118" s="127"/>
      <c r="I118" s="32"/>
    </row>
    <row r="119" spans="1:9" ht="7.9" customHeight="1" x14ac:dyDescent="0.25">
      <c r="A119" s="33"/>
      <c r="B119" s="32"/>
      <c r="C119" s="34"/>
      <c r="D119" s="34"/>
      <c r="E119" s="34"/>
      <c r="F119" s="34"/>
      <c r="G119" s="34"/>
      <c r="H119" s="34"/>
      <c r="I119" s="32"/>
    </row>
    <row r="120" spans="1:9" ht="15.6" customHeight="1" x14ac:dyDescent="0.25">
      <c r="A120" s="128" t="s">
        <v>119</v>
      </c>
      <c r="B120" s="128" t="s">
        <v>12</v>
      </c>
      <c r="C120" s="128" t="s">
        <v>120</v>
      </c>
      <c r="D120" s="128" t="s">
        <v>121</v>
      </c>
      <c r="E120" s="131" t="s">
        <v>14</v>
      </c>
      <c r="F120" s="134" t="s">
        <v>16</v>
      </c>
      <c r="G120" s="135"/>
      <c r="H120" s="135"/>
      <c r="I120" s="136"/>
    </row>
    <row r="121" spans="1:9" ht="19.899999999999999" customHeight="1" x14ac:dyDescent="0.25">
      <c r="A121" s="129"/>
      <c r="B121" s="129"/>
      <c r="C121" s="129"/>
      <c r="D121" s="129"/>
      <c r="E121" s="132"/>
      <c r="F121" s="11" t="s">
        <v>17</v>
      </c>
      <c r="G121" s="11" t="s">
        <v>18</v>
      </c>
      <c r="H121" s="11" t="s">
        <v>218</v>
      </c>
      <c r="I121" s="137" t="s">
        <v>19</v>
      </c>
    </row>
    <row r="122" spans="1:9" ht="36.6" customHeight="1" x14ac:dyDescent="0.25">
      <c r="A122" s="130"/>
      <c r="B122" s="130"/>
      <c r="C122" s="130"/>
      <c r="D122" s="130"/>
      <c r="E122" s="133"/>
      <c r="F122" s="11" t="s">
        <v>20</v>
      </c>
      <c r="G122" s="11" t="s">
        <v>21</v>
      </c>
      <c r="H122" s="11" t="s">
        <v>22</v>
      </c>
      <c r="I122" s="138"/>
    </row>
    <row r="123" spans="1:9" ht="14.45" customHeight="1" x14ac:dyDescent="0.25">
      <c r="A123" s="19">
        <v>1</v>
      </c>
      <c r="B123" s="11">
        <v>2</v>
      </c>
      <c r="C123" s="11">
        <v>3</v>
      </c>
      <c r="D123" s="11">
        <v>4</v>
      </c>
      <c r="E123" s="12" t="s">
        <v>122</v>
      </c>
      <c r="F123" s="11">
        <v>5</v>
      </c>
      <c r="G123" s="11">
        <v>6</v>
      </c>
      <c r="H123" s="11">
        <v>7</v>
      </c>
      <c r="I123" s="11">
        <v>8</v>
      </c>
    </row>
    <row r="124" spans="1:9" ht="21" customHeight="1" x14ac:dyDescent="0.25">
      <c r="A124" s="19">
        <v>1</v>
      </c>
      <c r="B124" s="35" t="s">
        <v>123</v>
      </c>
      <c r="C124" s="25">
        <v>26000</v>
      </c>
      <c r="D124" s="25" t="s">
        <v>25</v>
      </c>
      <c r="E124" s="10" t="s">
        <v>25</v>
      </c>
      <c r="F124" s="45">
        <f>F125+F126+F127+F131</f>
        <v>17314388.080000002</v>
      </c>
      <c r="G124" s="45">
        <f>G125+G126+G127+G131</f>
        <v>19203604.689999998</v>
      </c>
      <c r="H124" s="45">
        <f>H125+H126+H127+H131</f>
        <v>18904984.009999998</v>
      </c>
      <c r="I124" s="26">
        <f>I125+I126+I127+I131</f>
        <v>0</v>
      </c>
    </row>
    <row r="125" spans="1:9" ht="145.15" customHeight="1" x14ac:dyDescent="0.25">
      <c r="A125" s="36" t="s">
        <v>124</v>
      </c>
      <c r="B125" s="37" t="s">
        <v>125</v>
      </c>
      <c r="C125" s="38">
        <v>26100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9" ht="40.9" customHeight="1" x14ac:dyDescent="0.25">
      <c r="A126" s="36" t="s">
        <v>126</v>
      </c>
      <c r="B126" s="37" t="s">
        <v>127</v>
      </c>
      <c r="C126" s="38">
        <v>26200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9" ht="39" customHeight="1" x14ac:dyDescent="0.25">
      <c r="A127" s="36" t="s">
        <v>128</v>
      </c>
      <c r="B127" s="37" t="s">
        <v>129</v>
      </c>
      <c r="C127" s="38">
        <v>26300</v>
      </c>
      <c r="D127" s="21" t="s">
        <v>25</v>
      </c>
      <c r="E127" s="10" t="s">
        <v>25</v>
      </c>
      <c r="F127" s="22">
        <v>4342638.6100000003</v>
      </c>
      <c r="G127" s="22">
        <v>0</v>
      </c>
      <c r="H127" s="22">
        <v>0</v>
      </c>
      <c r="I127" s="22"/>
    </row>
    <row r="128" spans="1:9" ht="14.45" customHeight="1" x14ac:dyDescent="0.25">
      <c r="A128" s="39" t="s">
        <v>130</v>
      </c>
      <c r="B128" s="37" t="s">
        <v>131</v>
      </c>
      <c r="C128" s="38">
        <v>26310</v>
      </c>
      <c r="D128" s="21" t="s">
        <v>25</v>
      </c>
      <c r="E128" s="40" t="s">
        <v>25</v>
      </c>
      <c r="F128" s="44">
        <f>F127</f>
        <v>4342638.6100000003</v>
      </c>
      <c r="G128" s="22"/>
      <c r="H128" s="22"/>
      <c r="I128" s="22"/>
    </row>
    <row r="129" spans="1:12" x14ac:dyDescent="0.25">
      <c r="A129" s="39"/>
      <c r="B129" s="37" t="s">
        <v>191</v>
      </c>
      <c r="C129" s="38" t="s">
        <v>132</v>
      </c>
      <c r="D129" s="21" t="s">
        <v>25</v>
      </c>
      <c r="E129" s="10">
        <v>150</v>
      </c>
      <c r="F129" s="22">
        <v>35880</v>
      </c>
      <c r="G129" s="22"/>
      <c r="H129" s="22"/>
      <c r="I129" s="22"/>
      <c r="J129" s="53"/>
      <c r="K129" s="53"/>
    </row>
    <row r="130" spans="1:12" ht="15.6" customHeight="1" x14ac:dyDescent="0.25">
      <c r="A130" s="39" t="s">
        <v>133</v>
      </c>
      <c r="B130" s="37" t="s">
        <v>134</v>
      </c>
      <c r="C130" s="38">
        <v>26320</v>
      </c>
      <c r="D130" s="21" t="s">
        <v>25</v>
      </c>
      <c r="E130" s="10" t="s">
        <v>25</v>
      </c>
      <c r="F130" s="22"/>
      <c r="G130" s="22"/>
      <c r="H130" s="22"/>
      <c r="I130" s="22"/>
    </row>
    <row r="131" spans="1:12" ht="39.6" customHeight="1" x14ac:dyDescent="0.25">
      <c r="A131" s="36" t="s">
        <v>135</v>
      </c>
      <c r="B131" s="37" t="s">
        <v>136</v>
      </c>
      <c r="C131" s="38">
        <v>26400</v>
      </c>
      <c r="D131" s="21" t="s">
        <v>25</v>
      </c>
      <c r="E131" s="10" t="s">
        <v>25</v>
      </c>
      <c r="F131" s="44">
        <f>F132+F135+F142+F144+F147</f>
        <v>12971749.470000001</v>
      </c>
      <c r="G131" s="44">
        <f>G132+G135+G142+G144+G147</f>
        <v>19203604.689999998</v>
      </c>
      <c r="H131" s="44">
        <f>H132+H135+H142+H144+H147</f>
        <v>18904984.009999998</v>
      </c>
      <c r="I131" s="22">
        <f>I132+I135+I142+I144+I147</f>
        <v>0</v>
      </c>
      <c r="J131" s="50"/>
      <c r="K131" s="6"/>
      <c r="L131" s="6"/>
    </row>
    <row r="132" spans="1:12" ht="38.450000000000003" customHeight="1" x14ac:dyDescent="0.25">
      <c r="A132" s="39" t="s">
        <v>137</v>
      </c>
      <c r="B132" s="37" t="s">
        <v>138</v>
      </c>
      <c r="C132" s="38">
        <v>26410</v>
      </c>
      <c r="D132" s="21" t="s">
        <v>25</v>
      </c>
      <c r="E132" s="10" t="s">
        <v>25</v>
      </c>
      <c r="F132" s="44">
        <f>F133+F134</f>
        <v>3958697.419999999</v>
      </c>
      <c r="G132" s="44">
        <f>G133+G134</f>
        <v>6583666.3699999973</v>
      </c>
      <c r="H132" s="44">
        <f>H133+H134</f>
        <v>6561152.8499999996</v>
      </c>
      <c r="I132" s="22">
        <f>I133+I134</f>
        <v>0</v>
      </c>
    </row>
    <row r="133" spans="1:12" ht="26.25" x14ac:dyDescent="0.25">
      <c r="A133" s="39" t="s">
        <v>139</v>
      </c>
      <c r="B133" s="37" t="s">
        <v>140</v>
      </c>
      <c r="C133" s="38">
        <v>26411</v>
      </c>
      <c r="D133" s="21" t="s">
        <v>25</v>
      </c>
      <c r="E133" s="10" t="s">
        <v>25</v>
      </c>
      <c r="F133" s="44">
        <f>F93-F127-F135-F147-F125</f>
        <v>3958697.419999999</v>
      </c>
      <c r="G133" s="44">
        <f>G93-G127-G135-G147</f>
        <v>6583666.3699999973</v>
      </c>
      <c r="H133" s="44">
        <f>H93-H127-H135-H147</f>
        <v>6561152.8499999996</v>
      </c>
      <c r="I133" s="22"/>
    </row>
    <row r="134" spans="1:12" ht="19.899999999999999" customHeight="1" x14ac:dyDescent="0.25">
      <c r="A134" s="39" t="s">
        <v>141</v>
      </c>
      <c r="B134" s="37" t="s">
        <v>142</v>
      </c>
      <c r="C134" s="21">
        <v>26412</v>
      </c>
      <c r="D134" s="21" t="s">
        <v>25</v>
      </c>
      <c r="E134" s="10" t="s">
        <v>25</v>
      </c>
      <c r="F134" s="22"/>
      <c r="G134" s="22"/>
      <c r="H134" s="22"/>
      <c r="I134" s="22"/>
    </row>
    <row r="135" spans="1:12" ht="28.9" customHeight="1" x14ac:dyDescent="0.25">
      <c r="A135" s="39" t="s">
        <v>143</v>
      </c>
      <c r="B135" s="37" t="s">
        <v>144</v>
      </c>
      <c r="C135" s="38">
        <v>26420</v>
      </c>
      <c r="D135" s="21" t="s">
        <v>25</v>
      </c>
      <c r="E135" s="10" t="s">
        <v>25</v>
      </c>
      <c r="F135" s="44">
        <f>F136+F141</f>
        <v>8571253.0800000001</v>
      </c>
      <c r="G135" s="44">
        <f>G136+G141</f>
        <v>12537272.84</v>
      </c>
      <c r="H135" s="44">
        <f>H136+H141</f>
        <v>12261165.679999998</v>
      </c>
      <c r="I135" s="22">
        <f>I136+I141</f>
        <v>0</v>
      </c>
    </row>
    <row r="136" spans="1:12" ht="26.45" customHeight="1" x14ac:dyDescent="0.25">
      <c r="A136" s="39" t="s">
        <v>145</v>
      </c>
      <c r="B136" s="37" t="s">
        <v>140</v>
      </c>
      <c r="C136" s="38">
        <v>26421</v>
      </c>
      <c r="D136" s="21" t="s">
        <v>25</v>
      </c>
      <c r="E136" s="10" t="s">
        <v>25</v>
      </c>
      <c r="F136" s="82">
        <f>F35-76804.92-23195.08-F54-F129-F40</f>
        <v>8571253.0800000001</v>
      </c>
      <c r="G136" s="44">
        <f>G35-76804.92-23195.08-G54</f>
        <v>12537272.84</v>
      </c>
      <c r="H136" s="44">
        <f>H35-76804.92-23195.08-H54</f>
        <v>12261165.679999998</v>
      </c>
      <c r="I136" s="22"/>
    </row>
    <row r="137" spans="1:12" ht="15.6" customHeight="1" x14ac:dyDescent="0.25">
      <c r="A137" s="39"/>
      <c r="B137" s="37" t="s">
        <v>146</v>
      </c>
      <c r="C137" s="38" t="s">
        <v>147</v>
      </c>
      <c r="D137" s="21" t="s">
        <v>25</v>
      </c>
      <c r="E137" s="10">
        <v>150</v>
      </c>
      <c r="F137" s="44">
        <f>F136-F138-F139-F140</f>
        <v>2439183.09</v>
      </c>
      <c r="G137" s="44">
        <f>G136-G138-G139-G140</f>
        <v>3744323.0699999994</v>
      </c>
      <c r="H137" s="44">
        <f>H136-H138-H139-H140</f>
        <v>3719766.319999998</v>
      </c>
      <c r="I137" s="22"/>
      <c r="J137" s="51"/>
    </row>
    <row r="138" spans="1:12" ht="55.15" customHeight="1" x14ac:dyDescent="0.25">
      <c r="A138" s="39"/>
      <c r="B138" s="37" t="s">
        <v>198</v>
      </c>
      <c r="C138" s="38" t="s">
        <v>225</v>
      </c>
      <c r="D138" s="21" t="s">
        <v>25</v>
      </c>
      <c r="E138" s="10" t="s">
        <v>197</v>
      </c>
      <c r="F138" s="44">
        <f>F51</f>
        <v>4520564.6500000004</v>
      </c>
      <c r="G138" s="44">
        <v>6481945.7000000002</v>
      </c>
      <c r="H138" s="44">
        <f>H51</f>
        <v>6482395.7000000002</v>
      </c>
      <c r="I138" s="22"/>
      <c r="J138" s="51"/>
    </row>
    <row r="139" spans="1:12" ht="59.45" customHeight="1" x14ac:dyDescent="0.25">
      <c r="A139" s="39"/>
      <c r="B139" s="37" t="s">
        <v>199</v>
      </c>
      <c r="C139" s="38" t="s">
        <v>226</v>
      </c>
      <c r="D139" s="21" t="s">
        <v>25</v>
      </c>
      <c r="E139" s="10" t="s">
        <v>197</v>
      </c>
      <c r="F139" s="44">
        <f>F52</f>
        <v>1427543.13</v>
      </c>
      <c r="G139" s="44">
        <v>2046995.37</v>
      </c>
      <c r="H139" s="44">
        <f>H52</f>
        <v>1802579.38</v>
      </c>
      <c r="I139" s="22"/>
    </row>
    <row r="140" spans="1:12" ht="53.45" customHeight="1" x14ac:dyDescent="0.25">
      <c r="A140" s="39"/>
      <c r="B140" s="37" t="s">
        <v>200</v>
      </c>
      <c r="C140" s="38" t="s">
        <v>194</v>
      </c>
      <c r="D140" s="21" t="s">
        <v>25</v>
      </c>
      <c r="E140" s="10" t="s">
        <v>197</v>
      </c>
      <c r="F140" s="44">
        <f>F53</f>
        <v>183962.21</v>
      </c>
      <c r="G140" s="44">
        <v>264008.7</v>
      </c>
      <c r="H140" s="44">
        <f>H53</f>
        <v>256424.28</v>
      </c>
      <c r="I140" s="22"/>
    </row>
    <row r="141" spans="1:12" ht="19.899999999999999" customHeight="1" x14ac:dyDescent="0.25">
      <c r="A141" s="39" t="s">
        <v>148</v>
      </c>
      <c r="B141" s="37" t="s">
        <v>142</v>
      </c>
      <c r="C141" s="38">
        <v>26422</v>
      </c>
      <c r="D141" s="21" t="s">
        <v>25</v>
      </c>
      <c r="E141" s="10" t="s">
        <v>25</v>
      </c>
      <c r="F141" s="22"/>
      <c r="G141" s="22"/>
      <c r="H141" s="22"/>
      <c r="I141" s="22"/>
    </row>
    <row r="142" spans="1:12" ht="18.600000000000001" customHeight="1" x14ac:dyDescent="0.25">
      <c r="A142" s="39" t="s">
        <v>149</v>
      </c>
      <c r="B142" s="37" t="s">
        <v>150</v>
      </c>
      <c r="C142" s="38">
        <v>26430</v>
      </c>
      <c r="D142" s="21" t="s">
        <v>25</v>
      </c>
      <c r="E142" s="10" t="s">
        <v>25</v>
      </c>
      <c r="F142" s="22"/>
      <c r="G142" s="22"/>
      <c r="H142" s="22"/>
      <c r="I142" s="22"/>
      <c r="L142" s="51"/>
    </row>
    <row r="143" spans="1:12" ht="16.899999999999999" customHeight="1" x14ac:dyDescent="0.25">
      <c r="A143" s="39"/>
      <c r="B143" s="37" t="s">
        <v>146</v>
      </c>
      <c r="C143" s="38" t="s">
        <v>151</v>
      </c>
      <c r="D143" s="21" t="s">
        <v>25</v>
      </c>
      <c r="E143" s="10"/>
      <c r="F143" s="22"/>
      <c r="G143" s="22"/>
      <c r="H143" s="22"/>
      <c r="I143" s="22"/>
    </row>
    <row r="144" spans="1:12" ht="19.149999999999999" customHeight="1" x14ac:dyDescent="0.25">
      <c r="A144" s="39" t="s">
        <v>152</v>
      </c>
      <c r="B144" s="37" t="s">
        <v>153</v>
      </c>
      <c r="C144" s="38">
        <v>26440</v>
      </c>
      <c r="D144" s="21" t="s">
        <v>25</v>
      </c>
      <c r="E144" s="10" t="s">
        <v>25</v>
      </c>
      <c r="F144" s="44">
        <f>F145+F146</f>
        <v>0</v>
      </c>
      <c r="G144" s="44">
        <f>G145+G146</f>
        <v>0</v>
      </c>
      <c r="H144" s="44">
        <f>H145+H146</f>
        <v>0</v>
      </c>
      <c r="I144" s="22">
        <f>I145+I146</f>
        <v>0</v>
      </c>
    </row>
    <row r="145" spans="1:10" ht="27.6" customHeight="1" x14ac:dyDescent="0.25">
      <c r="A145" s="39" t="s">
        <v>154</v>
      </c>
      <c r="B145" s="37" t="s">
        <v>140</v>
      </c>
      <c r="C145" s="38">
        <v>26441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149999999999999" customHeight="1" x14ac:dyDescent="0.25">
      <c r="A146" s="41" t="s">
        <v>155</v>
      </c>
      <c r="B146" s="37" t="s">
        <v>142</v>
      </c>
      <c r="C146" s="38">
        <v>26442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19.899999999999999" customHeight="1" x14ac:dyDescent="0.25">
      <c r="A147" s="41" t="s">
        <v>156</v>
      </c>
      <c r="B147" s="37" t="s">
        <v>157</v>
      </c>
      <c r="C147" s="38">
        <v>26450</v>
      </c>
      <c r="D147" s="21" t="s">
        <v>25</v>
      </c>
      <c r="E147" s="10" t="s">
        <v>25</v>
      </c>
      <c r="F147" s="94">
        <f>F148+F150</f>
        <v>441798.97</v>
      </c>
      <c r="G147" s="94">
        <f>G148+G150</f>
        <v>82665.48</v>
      </c>
      <c r="H147" s="94">
        <f>H148+H150</f>
        <v>82665.48</v>
      </c>
      <c r="I147" s="22">
        <f>I148+I150</f>
        <v>0</v>
      </c>
    </row>
    <row r="148" spans="1:10" ht="26.25" x14ac:dyDescent="0.25">
      <c r="A148" s="41" t="s">
        <v>158</v>
      </c>
      <c r="B148" s="37" t="s">
        <v>140</v>
      </c>
      <c r="C148" s="38">
        <v>26451</v>
      </c>
      <c r="D148" s="21" t="s">
        <v>25</v>
      </c>
      <c r="E148" s="10" t="s">
        <v>25</v>
      </c>
      <c r="F148" s="94">
        <v>441798.97</v>
      </c>
      <c r="G148" s="94">
        <f>20665.48+62000</f>
        <v>82665.48</v>
      </c>
      <c r="H148" s="94">
        <f>20665.48+62000</f>
        <v>82665.48</v>
      </c>
      <c r="I148" s="22"/>
    </row>
    <row r="149" spans="1:10" ht="19.149999999999999" customHeight="1" x14ac:dyDescent="0.25">
      <c r="A149" s="41"/>
      <c r="B149" s="37" t="s">
        <v>146</v>
      </c>
      <c r="C149" s="38" t="s">
        <v>159</v>
      </c>
      <c r="D149" s="21" t="s">
        <v>25</v>
      </c>
      <c r="E149" s="10">
        <v>150</v>
      </c>
      <c r="F149" s="49"/>
      <c r="G149" s="22"/>
      <c r="H149" s="22"/>
      <c r="I149" s="22"/>
      <c r="J149" s="53"/>
    </row>
    <row r="150" spans="1:10" ht="19.899999999999999" customHeight="1" x14ac:dyDescent="0.25">
      <c r="A150" s="41" t="s">
        <v>160</v>
      </c>
      <c r="B150" s="37" t="s">
        <v>142</v>
      </c>
      <c r="C150" s="38">
        <v>26452</v>
      </c>
      <c r="D150" s="21" t="s">
        <v>25</v>
      </c>
      <c r="E150" s="10" t="s">
        <v>25</v>
      </c>
      <c r="F150" s="22"/>
      <c r="G150" s="22"/>
      <c r="H150" s="22"/>
      <c r="I150" s="22"/>
    </row>
    <row r="151" spans="1:10" ht="42.6" customHeight="1" x14ac:dyDescent="0.25">
      <c r="A151" s="41" t="s">
        <v>161</v>
      </c>
      <c r="B151" s="37" t="s">
        <v>162</v>
      </c>
      <c r="C151" s="38">
        <v>26500</v>
      </c>
      <c r="D151" s="21" t="s">
        <v>25</v>
      </c>
      <c r="E151" s="10" t="s">
        <v>25</v>
      </c>
      <c r="F151" s="44">
        <f>F153+F154+F155</f>
        <v>12971749.470000001</v>
      </c>
      <c r="G151" s="44">
        <f>G153+G154+G155</f>
        <v>19203604.689999998</v>
      </c>
      <c r="H151" s="44">
        <f>H153+H154+H155</f>
        <v>18904984.009999998</v>
      </c>
      <c r="I151" s="22">
        <f>I152+I156</f>
        <v>0</v>
      </c>
    </row>
    <row r="152" spans="1:10" ht="15.6" customHeight="1" x14ac:dyDescent="0.25">
      <c r="A152" s="41"/>
      <c r="B152" s="37" t="s">
        <v>163</v>
      </c>
      <c r="C152" s="38">
        <v>26510</v>
      </c>
      <c r="D152" s="21"/>
      <c r="E152" s="10" t="s">
        <v>25</v>
      </c>
      <c r="F152" s="44"/>
      <c r="G152" s="44"/>
      <c r="H152" s="44"/>
      <c r="I152" s="22"/>
    </row>
    <row r="153" spans="1:10" ht="18.600000000000001" customHeight="1" x14ac:dyDescent="0.25">
      <c r="A153" s="41" t="s">
        <v>204</v>
      </c>
      <c r="B153" s="37"/>
      <c r="C153" s="38"/>
      <c r="D153" s="21">
        <v>2021</v>
      </c>
      <c r="E153" s="10"/>
      <c r="F153" s="44">
        <f>F131</f>
        <v>12971749.470000001</v>
      </c>
      <c r="G153" s="44"/>
      <c r="H153" s="44"/>
      <c r="I153" s="22"/>
    </row>
    <row r="154" spans="1:10" ht="19.899999999999999" customHeight="1" x14ac:dyDescent="0.25">
      <c r="A154" s="41" t="s">
        <v>205</v>
      </c>
      <c r="B154" s="37"/>
      <c r="C154" s="38"/>
      <c r="D154" s="21">
        <v>2022</v>
      </c>
      <c r="E154" s="10"/>
      <c r="F154" s="44"/>
      <c r="G154" s="44">
        <f>G131-G153-G155</f>
        <v>19203604.689999998</v>
      </c>
      <c r="H154" s="44"/>
      <c r="I154" s="22"/>
    </row>
    <row r="155" spans="1:10" ht="18" customHeight="1" x14ac:dyDescent="0.25">
      <c r="A155" s="41" t="s">
        <v>206</v>
      </c>
      <c r="B155" s="37"/>
      <c r="C155" s="38"/>
      <c r="D155" s="21">
        <v>2023</v>
      </c>
      <c r="E155" s="10"/>
      <c r="F155" s="44"/>
      <c r="G155" s="44"/>
      <c r="H155" s="44">
        <f>H131-H154-H153</f>
        <v>18904984.009999998</v>
      </c>
      <c r="I155" s="22"/>
    </row>
    <row r="156" spans="1:10" ht="16.899999999999999" customHeight="1" x14ac:dyDescent="0.25">
      <c r="A156" s="41"/>
      <c r="B156" s="37"/>
      <c r="C156" s="38"/>
      <c r="D156" s="21"/>
      <c r="E156" s="10" t="s">
        <v>25</v>
      </c>
      <c r="F156" s="22"/>
      <c r="G156" s="22"/>
      <c r="H156" s="22"/>
      <c r="I156" s="22"/>
    </row>
    <row r="157" spans="1:10" ht="39" x14ac:dyDescent="0.25">
      <c r="A157" s="41" t="s">
        <v>164</v>
      </c>
      <c r="B157" s="37" t="s">
        <v>165</v>
      </c>
      <c r="C157" s="38">
        <v>26600</v>
      </c>
      <c r="D157" s="21" t="s">
        <v>25</v>
      </c>
      <c r="E157" s="10" t="s">
        <v>25</v>
      </c>
      <c r="F157" s="44">
        <f>F158+F159</f>
        <v>0</v>
      </c>
      <c r="G157" s="44">
        <f>G158+G159</f>
        <v>0</v>
      </c>
      <c r="H157" s="44">
        <f>H158+H159</f>
        <v>0</v>
      </c>
      <c r="I157" s="22">
        <f>I158+I159</f>
        <v>0</v>
      </c>
    </row>
    <row r="158" spans="1:10" x14ac:dyDescent="0.25">
      <c r="A158" s="41"/>
      <c r="B158" s="37" t="s">
        <v>163</v>
      </c>
      <c r="C158" s="38">
        <v>26610</v>
      </c>
      <c r="D158" s="21"/>
      <c r="E158" s="10" t="s">
        <v>25</v>
      </c>
      <c r="F158" s="22"/>
      <c r="G158" s="22"/>
      <c r="H158" s="22"/>
      <c r="I158" s="22"/>
    </row>
    <row r="159" spans="1:10" x14ac:dyDescent="0.25">
      <c r="A159" s="41"/>
      <c r="B159" s="37"/>
      <c r="C159" s="21"/>
      <c r="D159" s="21"/>
      <c r="E159" s="10" t="s">
        <v>25</v>
      </c>
      <c r="F159" s="22"/>
      <c r="G159" s="22"/>
      <c r="H159" s="22"/>
      <c r="I159" s="22"/>
    </row>
    <row r="160" spans="1:10" ht="6.75" customHeight="1" x14ac:dyDescent="0.25">
      <c r="A160" s="33"/>
      <c r="B160" s="32"/>
      <c r="C160" s="34"/>
      <c r="D160" s="34"/>
      <c r="E160" s="34"/>
      <c r="F160" s="34"/>
      <c r="G160" s="34"/>
      <c r="H160" s="34"/>
      <c r="I160" s="32"/>
    </row>
    <row r="161" spans="1:10" x14ac:dyDescent="0.25">
      <c r="A161" s="63"/>
      <c r="B161" s="5"/>
      <c r="C161" s="64"/>
      <c r="D161" s="64"/>
      <c r="E161" s="64"/>
      <c r="F161" s="64"/>
      <c r="G161" s="64"/>
      <c r="H161" s="64"/>
      <c r="I161" s="5"/>
    </row>
    <row r="162" spans="1:10" x14ac:dyDescent="0.25">
      <c r="A162" s="65" t="s">
        <v>227</v>
      </c>
      <c r="D162" s="66"/>
      <c r="E162" s="55"/>
      <c r="F162" s="124" t="s">
        <v>208</v>
      </c>
      <c r="G162" s="124"/>
    </row>
    <row r="163" spans="1:10" x14ac:dyDescent="0.25">
      <c r="B163" s="1"/>
      <c r="C163" s="1"/>
      <c r="D163" s="67" t="s">
        <v>166</v>
      </c>
      <c r="F163" s="125" t="s">
        <v>167</v>
      </c>
      <c r="G163" s="125"/>
    </row>
    <row r="164" spans="1:10" x14ac:dyDescent="0.25">
      <c r="B164" s="1"/>
      <c r="C164" s="1"/>
      <c r="D164" s="1"/>
      <c r="E164" s="1"/>
      <c r="F164" s="1"/>
      <c r="G164" s="68"/>
    </row>
    <row r="165" spans="1:10" x14ac:dyDescent="0.25">
      <c r="A165" s="65"/>
      <c r="D165" s="66"/>
      <c r="E165" s="55"/>
      <c r="F165" s="124" t="s">
        <v>168</v>
      </c>
      <c r="G165" s="124"/>
    </row>
    <row r="166" spans="1:10" ht="13.5" customHeight="1" x14ac:dyDescent="0.25">
      <c r="A166" s="1" t="s">
        <v>169</v>
      </c>
      <c r="B166" s="1"/>
      <c r="C166" s="1"/>
      <c r="D166" s="67" t="s">
        <v>166</v>
      </c>
      <c r="F166" s="125" t="s">
        <v>167</v>
      </c>
      <c r="G166" s="125"/>
    </row>
    <row r="167" spans="1:10" hidden="1" x14ac:dyDescent="0.25">
      <c r="A167" s="65"/>
    </row>
    <row r="168" spans="1:10" ht="1.5" hidden="1" customHeight="1" x14ac:dyDescent="0.3">
      <c r="A168" s="65"/>
      <c r="H168" s="69"/>
      <c r="I168" s="69"/>
      <c r="J168"/>
    </row>
    <row r="169" spans="1:10" ht="17.25" customHeight="1" x14ac:dyDescent="0.3">
      <c r="A169" s="70"/>
      <c r="B169" s="69"/>
      <c r="C169" s="69"/>
      <c r="H169" s="69"/>
      <c r="I169" s="69"/>
      <c r="J169"/>
    </row>
    <row r="170" spans="1:10" ht="18.75" hidden="1" x14ac:dyDescent="0.3">
      <c r="A170" s="70"/>
      <c r="B170" s="69"/>
      <c r="C170" s="69"/>
      <c r="D170" s="69"/>
      <c r="E170" s="69"/>
      <c r="F170" s="71"/>
      <c r="H170" s="69"/>
      <c r="I170" s="69"/>
      <c r="J170"/>
    </row>
    <row r="171" spans="1:10" ht="45.75" customHeight="1" x14ac:dyDescent="0.3">
      <c r="A171" s="72" t="s">
        <v>232</v>
      </c>
      <c r="B171" s="72"/>
      <c r="C171" s="72"/>
      <c r="D171" s="72"/>
      <c r="E171" s="69"/>
      <c r="F171" s="71"/>
      <c r="H171" s="69"/>
      <c r="I171" s="69"/>
      <c r="J171"/>
    </row>
    <row r="172" spans="1:10" ht="15.75" customHeight="1" x14ac:dyDescent="0.3">
      <c r="A172" s="96" t="s">
        <v>170</v>
      </c>
      <c r="B172" s="96"/>
      <c r="C172" s="96"/>
      <c r="D172" s="96"/>
      <c r="E172" s="73"/>
      <c r="H172" s="69"/>
      <c r="I172" s="69"/>
      <c r="J172"/>
    </row>
    <row r="173" spans="1:10" x14ac:dyDescent="0.25">
      <c r="A173" s="96"/>
      <c r="B173" s="96"/>
      <c r="C173" s="96"/>
      <c r="D173" s="96"/>
      <c r="E173" s="96"/>
      <c r="H173" s="5"/>
      <c r="I173" s="5"/>
    </row>
    <row r="174" spans="1:10" x14ac:dyDescent="0.25">
      <c r="C174" s="5"/>
      <c r="D174" s="5"/>
      <c r="E174" s="5"/>
      <c r="H174" s="5"/>
      <c r="I174" s="5"/>
    </row>
    <row r="175" spans="1:10" x14ac:dyDescent="0.25">
      <c r="A175" s="2"/>
      <c r="H175" s="5"/>
      <c r="I175" s="5"/>
    </row>
    <row r="176" spans="1:10" x14ac:dyDescent="0.25"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C187" s="5"/>
      <c r="D187" s="5"/>
      <c r="E187" s="5"/>
      <c r="F187" s="5"/>
      <c r="G187" s="5"/>
      <c r="H187" s="5"/>
      <c r="I187" s="5"/>
    </row>
    <row r="188" spans="3:9" x14ac:dyDescent="0.25">
      <c r="E188" s="5"/>
    </row>
  </sheetData>
  <mergeCells count="118"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  <mergeCell ref="A24:B24"/>
    <mergeCell ref="A25:B25"/>
    <mergeCell ref="A26:B26"/>
    <mergeCell ref="A27:B27"/>
    <mergeCell ref="A28:B28"/>
    <mergeCell ref="A29:B29"/>
    <mergeCell ref="A19:B19"/>
    <mergeCell ref="A21:B23"/>
    <mergeCell ref="C21:C23"/>
    <mergeCell ref="A36:B36"/>
    <mergeCell ref="A37:B37"/>
    <mergeCell ref="A38:B38"/>
    <mergeCell ref="A40:B40"/>
    <mergeCell ref="A41:B41"/>
    <mergeCell ref="A42:B42"/>
    <mergeCell ref="A30:B30"/>
    <mergeCell ref="A31:B31"/>
    <mergeCell ref="A32:B32"/>
    <mergeCell ref="A33:B33"/>
    <mergeCell ref="A34:B34"/>
    <mergeCell ref="A35:B35"/>
    <mergeCell ref="A39:B39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F162:G162"/>
    <mergeCell ref="F163:G163"/>
    <mergeCell ref="F165:G165"/>
    <mergeCell ref="F166:G166"/>
    <mergeCell ref="A47:B47"/>
    <mergeCell ref="A116:B116"/>
    <mergeCell ref="A118:H118"/>
    <mergeCell ref="A120:A122"/>
    <mergeCell ref="B120:B122"/>
    <mergeCell ref="C120:C122"/>
    <mergeCell ref="D120:D122"/>
    <mergeCell ref="E120:E122"/>
    <mergeCell ref="F120:I120"/>
    <mergeCell ref="I121:I122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6"/>
  <sheetViews>
    <sheetView zoomScale="85" zoomScaleNormal="85" zoomScaleSheetLayoutView="70" workbookViewId="0">
      <selection activeCell="F125" sqref="F125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239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240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241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9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9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9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9" ht="10.9" customHeight="1" x14ac:dyDescent="0.25">
      <c r="H20" s="57"/>
      <c r="I20" s="62"/>
    </row>
    <row r="21" spans="1:9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9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9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9" s="4" customFormat="1" ht="12.75" customHeight="1" x14ac:dyDescent="0.2">
      <c r="A24" s="149">
        <v>1</v>
      </c>
      <c r="B24" s="149"/>
      <c r="C24" s="93">
        <v>2</v>
      </c>
      <c r="D24" s="93">
        <v>3</v>
      </c>
      <c r="E24" s="93">
        <v>4</v>
      </c>
      <c r="F24" s="11">
        <v>5</v>
      </c>
      <c r="G24" s="11">
        <v>6</v>
      </c>
      <c r="H24" s="11">
        <v>7</v>
      </c>
      <c r="I24" s="93">
        <v>8</v>
      </c>
    </row>
    <row r="25" spans="1:9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378548.25+72228.32+21310+112204.45</f>
        <v>584291.02</v>
      </c>
      <c r="G25" s="13">
        <v>0</v>
      </c>
      <c r="H25" s="13">
        <v>0</v>
      </c>
      <c r="I25" s="13">
        <v>0</v>
      </c>
    </row>
    <row r="26" spans="1:9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F25+F27-F60+F109-F113</f>
        <v>0</v>
      </c>
      <c r="G26" s="43">
        <f>G25+G27-G60-G113</f>
        <v>-7.4505805969238281E-9</v>
      </c>
      <c r="H26" s="43">
        <f>H25+H27-H60-H113</f>
        <v>-7.4505805969238281E-9</v>
      </c>
      <c r="I26" s="43">
        <v>0</v>
      </c>
    </row>
    <row r="27" spans="1:9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F28+F29+F33+F34+F55+F57+F58</f>
        <v>56614037.289999999</v>
      </c>
      <c r="G27" s="42">
        <f>G28+G29+G33+G34+G55+G57+G58</f>
        <v>58498779.229999989</v>
      </c>
      <c r="H27" s="42">
        <f>H28+H29+H33+H34+H55+H57+H58</f>
        <v>58200158.54999999</v>
      </c>
      <c r="I27" s="42">
        <f>I28+I29+I33+I34+I55+I57+I58</f>
        <v>0</v>
      </c>
    </row>
    <row r="28" spans="1:9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9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F30+F32+F56</f>
        <v>42240972.039999999</v>
      </c>
      <c r="G29" s="42">
        <f>G30+G32+G56+G57</f>
        <v>42257280.909999996</v>
      </c>
      <c r="H29" s="42">
        <f>H30+H32+H56+H57</f>
        <v>42234767.389999993</v>
      </c>
      <c r="I29" s="42">
        <f>SUM(I30:I32)</f>
        <v>0</v>
      </c>
    </row>
    <row r="30" spans="1:9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7057300.92+36051226.05-1000000+454080-170215-329000</f>
        <v>42063391.969999999</v>
      </c>
      <c r="G30" s="52">
        <f>42353595.91-106100-170215</f>
        <v>42077280.909999996</v>
      </c>
      <c r="H30" s="52">
        <f>42353595.91-128613.52-170215</f>
        <v>42054767.389999993</v>
      </c>
      <c r="I30" s="13"/>
    </row>
    <row r="31" spans="1:9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</row>
    <row r="32" spans="1:9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f>189580.07-12000</f>
        <v>177580.07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F35+F53+F54</f>
        <v>14361065.25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86">
        <f>SUM(F37:F52)</f>
        <v>14361065.25</v>
      </c>
      <c r="G35" s="86">
        <f>SUM(G37:G55)</f>
        <v>16230832.84</v>
      </c>
      <c r="H35" s="86">
        <f>SUM(H37:H52)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236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242</v>
      </c>
      <c r="B38" s="149"/>
      <c r="C38" s="19"/>
      <c r="D38" s="12"/>
      <c r="E38" s="11"/>
      <c r="F38" s="20">
        <f>52050-52050</f>
        <v>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243</v>
      </c>
      <c r="B40" s="149"/>
      <c r="C40" s="12"/>
      <c r="D40" s="12"/>
      <c r="E40" s="11"/>
      <c r="F40" s="84">
        <f>100000+470000</f>
        <v>570000</v>
      </c>
      <c r="G40" s="84"/>
      <c r="H40" s="84"/>
      <c r="I40" s="13"/>
    </row>
    <row r="41" spans="1:9" s="46" customFormat="1" ht="33" customHeight="1" x14ac:dyDescent="0.2">
      <c r="A41" s="150" t="s">
        <v>237</v>
      </c>
      <c r="B41" s="151"/>
      <c r="C41" s="12"/>
      <c r="D41" s="12"/>
      <c r="E41" s="11"/>
      <c r="F41" s="84">
        <v>20500</v>
      </c>
      <c r="G41" s="84"/>
      <c r="H41" s="84"/>
      <c r="I41" s="13"/>
    </row>
    <row r="42" spans="1:9" s="46" customFormat="1" ht="54.75" customHeight="1" x14ac:dyDescent="0.2">
      <c r="A42" s="150" t="s">
        <v>238</v>
      </c>
      <c r="B42" s="151"/>
      <c r="C42" s="12"/>
      <c r="D42" s="12"/>
      <c r="E42" s="11"/>
      <c r="F42" s="84">
        <v>170000</v>
      </c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84">
        <v>45350</v>
      </c>
      <c r="G43" s="84">
        <v>45350</v>
      </c>
      <c r="H43" s="84">
        <v>45350</v>
      </c>
      <c r="I43" s="13"/>
    </row>
    <row r="44" spans="1:9" s="46" customFormat="1" ht="43.15" customHeight="1" x14ac:dyDescent="0.2">
      <c r="A44" s="149" t="s">
        <v>176</v>
      </c>
      <c r="B44" s="149"/>
      <c r="C44" s="12"/>
      <c r="D44" s="12"/>
      <c r="E44" s="11"/>
      <c r="F44" s="84">
        <v>22330.32</v>
      </c>
      <c r="G44" s="84">
        <v>25100</v>
      </c>
      <c r="H44" s="84">
        <v>22330.32</v>
      </c>
      <c r="I44" s="13"/>
    </row>
    <row r="45" spans="1:9" s="46" customFormat="1" ht="84" customHeight="1" x14ac:dyDescent="0.2">
      <c r="A45" s="147" t="s">
        <v>177</v>
      </c>
      <c r="B45" s="148"/>
      <c r="C45" s="12"/>
      <c r="D45" s="12"/>
      <c r="E45" s="11"/>
      <c r="F45" s="84">
        <v>8036</v>
      </c>
      <c r="G45" s="84">
        <v>11600</v>
      </c>
      <c r="H45" s="84">
        <v>8036</v>
      </c>
      <c r="I45" s="13"/>
    </row>
    <row r="46" spans="1:9" s="46" customFormat="1" ht="60.75" customHeight="1" x14ac:dyDescent="0.2">
      <c r="A46" s="149" t="s">
        <v>178</v>
      </c>
      <c r="B46" s="149"/>
      <c r="C46" s="12"/>
      <c r="D46" s="12"/>
      <c r="E46" s="11"/>
      <c r="F46" s="84">
        <v>236850</v>
      </c>
      <c r="G46" s="84">
        <v>236850</v>
      </c>
      <c r="H46" s="84">
        <v>236850</v>
      </c>
      <c r="I46" s="13"/>
    </row>
    <row r="47" spans="1:9" s="46" customFormat="1" ht="45" customHeight="1" x14ac:dyDescent="0.2">
      <c r="A47" s="149" t="s">
        <v>192</v>
      </c>
      <c r="B47" s="149"/>
      <c r="C47" s="12"/>
      <c r="D47" s="47"/>
      <c r="E47" s="11"/>
      <c r="F47" s="84">
        <f>1957200-87800</f>
        <v>1869400</v>
      </c>
      <c r="G47" s="84">
        <v>1957200</v>
      </c>
      <c r="H47" s="84">
        <v>1957200</v>
      </c>
      <c r="I47" s="13"/>
    </row>
    <row r="48" spans="1:9" s="46" customFormat="1" ht="45" customHeight="1" x14ac:dyDescent="0.2">
      <c r="A48" s="150" t="s">
        <v>231</v>
      </c>
      <c r="B48" s="151"/>
      <c r="C48" s="12"/>
      <c r="D48" s="47"/>
      <c r="E48" s="11"/>
      <c r="F48" s="84">
        <v>44100</v>
      </c>
      <c r="G48" s="84"/>
      <c r="H48" s="84"/>
      <c r="I48" s="13"/>
    </row>
    <row r="49" spans="1:11" s="46" customFormat="1" ht="55.9" customHeight="1" x14ac:dyDescent="0.2">
      <c r="A49" s="152" t="s">
        <v>201</v>
      </c>
      <c r="B49" s="153"/>
      <c r="C49" s="79"/>
      <c r="D49" s="80"/>
      <c r="E49" s="81"/>
      <c r="F49" s="85">
        <v>4520564.6500000004</v>
      </c>
      <c r="G49" s="84">
        <v>6686413.75</v>
      </c>
      <c r="H49" s="84">
        <v>6482395.7000000002</v>
      </c>
      <c r="I49" s="13"/>
    </row>
    <row r="50" spans="1:11" s="46" customFormat="1" ht="54.6" customHeight="1" x14ac:dyDescent="0.2">
      <c r="A50" s="152" t="s">
        <v>202</v>
      </c>
      <c r="B50" s="153"/>
      <c r="C50" s="79"/>
      <c r="D50" s="80"/>
      <c r="E50" s="81"/>
      <c r="F50" s="85">
        <v>1427543.13</v>
      </c>
      <c r="G50" s="84">
        <v>1860220</v>
      </c>
      <c r="H50" s="84">
        <v>1802579.38</v>
      </c>
      <c r="I50" s="13"/>
    </row>
    <row r="51" spans="1:11" s="46" customFormat="1" ht="55.9" customHeight="1" x14ac:dyDescent="0.2">
      <c r="A51" s="152" t="s">
        <v>203</v>
      </c>
      <c r="B51" s="153"/>
      <c r="C51" s="79"/>
      <c r="D51" s="80"/>
      <c r="E51" s="81"/>
      <c r="F51" s="85">
        <v>183962.21</v>
      </c>
      <c r="G51" s="84">
        <v>264539.09000000003</v>
      </c>
      <c r="H51" s="84">
        <v>256424.28</v>
      </c>
      <c r="I51" s="13"/>
      <c r="J51" s="97"/>
    </row>
    <row r="52" spans="1:11" s="46" customFormat="1" ht="82.9" customHeight="1" x14ac:dyDescent="0.2">
      <c r="A52" s="154" t="s">
        <v>223</v>
      </c>
      <c r="B52" s="155"/>
      <c r="C52" s="79"/>
      <c r="D52" s="80"/>
      <c r="E52" s="81"/>
      <c r="F52" s="85">
        <v>3593560</v>
      </c>
      <c r="G52" s="84">
        <v>3593560</v>
      </c>
      <c r="H52" s="84">
        <v>3593560</v>
      </c>
      <c r="I52" s="13"/>
    </row>
    <row r="53" spans="1:11" s="46" customFormat="1" ht="15" customHeight="1" x14ac:dyDescent="0.2">
      <c r="A53" s="149" t="s">
        <v>180</v>
      </c>
      <c r="B53" s="149"/>
      <c r="C53" s="12" t="s">
        <v>51</v>
      </c>
      <c r="D53" s="12" t="s">
        <v>47</v>
      </c>
      <c r="E53" s="11"/>
      <c r="F53" s="13"/>
      <c r="G53" s="13"/>
      <c r="H53" s="13"/>
      <c r="I53" s="13"/>
    </row>
    <row r="54" spans="1:11" s="46" customFormat="1" ht="26.25" customHeight="1" x14ac:dyDescent="0.2">
      <c r="A54" s="147" t="s">
        <v>179</v>
      </c>
      <c r="B54" s="148"/>
      <c r="C54" s="12" t="s">
        <v>52</v>
      </c>
      <c r="D54" s="12" t="s">
        <v>47</v>
      </c>
      <c r="E54" s="11"/>
      <c r="F54" s="13"/>
      <c r="G54" s="13"/>
      <c r="H54" s="13"/>
      <c r="I54" s="13"/>
    </row>
    <row r="55" spans="1:11" s="46" customFormat="1" ht="15" customHeight="1" x14ac:dyDescent="0.2">
      <c r="A55" s="149" t="s">
        <v>53</v>
      </c>
      <c r="B55" s="149"/>
      <c r="C55" s="12" t="s">
        <v>54</v>
      </c>
      <c r="D55" s="12" t="s">
        <v>55</v>
      </c>
      <c r="E55" s="11"/>
      <c r="F55" s="13"/>
      <c r="G55" s="13"/>
      <c r="H55" s="13"/>
      <c r="I55" s="13"/>
    </row>
    <row r="56" spans="1:11" s="4" customFormat="1" ht="15" customHeight="1" x14ac:dyDescent="0.2">
      <c r="A56" s="149" t="s">
        <v>56</v>
      </c>
      <c r="B56" s="149"/>
      <c r="C56" s="12" t="s">
        <v>57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58</v>
      </c>
      <c r="B57" s="149"/>
      <c r="C57" s="12" t="s">
        <v>59</v>
      </c>
      <c r="D57" s="12" t="s">
        <v>60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61</v>
      </c>
      <c r="B58" s="149"/>
      <c r="C58" s="12" t="s">
        <v>62</v>
      </c>
      <c r="D58" s="12" t="s">
        <v>25</v>
      </c>
      <c r="E58" s="11"/>
      <c r="F58" s="13"/>
      <c r="G58" s="13"/>
      <c r="H58" s="13"/>
      <c r="I58" s="13"/>
    </row>
    <row r="59" spans="1:11" s="4" customFormat="1" ht="38.450000000000003" customHeight="1" x14ac:dyDescent="0.2">
      <c r="A59" s="149" t="s">
        <v>63</v>
      </c>
      <c r="B59" s="149"/>
      <c r="C59" s="12" t="s">
        <v>64</v>
      </c>
      <c r="D59" s="12" t="s">
        <v>65</v>
      </c>
      <c r="E59" s="11"/>
      <c r="F59" s="13"/>
      <c r="G59" s="13"/>
      <c r="H59" s="13"/>
      <c r="I59" s="13" t="s">
        <v>25</v>
      </c>
    </row>
    <row r="60" spans="1:11" s="4" customFormat="1" ht="15" customHeight="1" x14ac:dyDescent="0.2">
      <c r="A60" s="146" t="s">
        <v>66</v>
      </c>
      <c r="B60" s="146"/>
      <c r="C60" s="15" t="s">
        <v>67</v>
      </c>
      <c r="D60" s="15" t="s">
        <v>25</v>
      </c>
      <c r="E60" s="16">
        <v>200</v>
      </c>
      <c r="F60" s="42">
        <f>F61+F71+F78+F82+F89+F91</f>
        <v>56726241.740000002</v>
      </c>
      <c r="G60" s="42">
        <f>G61+G71+G78+G82+G89+G91</f>
        <v>58498779.229999997</v>
      </c>
      <c r="H60" s="42">
        <f>H61+H71+H78+H82+H89+H91</f>
        <v>58200158.549999997</v>
      </c>
      <c r="I60" s="17"/>
    </row>
    <row r="61" spans="1:11" s="4" customFormat="1" ht="27" customHeight="1" x14ac:dyDescent="0.2">
      <c r="A61" s="126" t="s">
        <v>68</v>
      </c>
      <c r="B61" s="126"/>
      <c r="C61" s="21">
        <v>2100</v>
      </c>
      <c r="D61" s="15" t="s">
        <v>25</v>
      </c>
      <c r="E61" s="21"/>
      <c r="F61" s="44">
        <f>F62+F63+F64+F65+F66+F67+F69</f>
        <v>39194949.539999999</v>
      </c>
      <c r="G61" s="44">
        <f>G62+G63+G64+G65+G66+G67+G69</f>
        <v>39194949.539999999</v>
      </c>
      <c r="H61" s="44">
        <f>H62+H63+H64+H65+H66+H67+H69</f>
        <v>39194949.539999999</v>
      </c>
      <c r="I61" s="22" t="s">
        <v>25</v>
      </c>
    </row>
    <row r="62" spans="1:11" s="4" customFormat="1" ht="25.5" customHeight="1" x14ac:dyDescent="0.2">
      <c r="A62" s="126" t="s">
        <v>69</v>
      </c>
      <c r="B62" s="126"/>
      <c r="C62" s="21">
        <v>2110</v>
      </c>
      <c r="D62" s="21">
        <v>111</v>
      </c>
      <c r="E62" s="21"/>
      <c r="F62" s="22">
        <f>27221908.24+90000+82949.31+76804.92+2760030.72-130733.49</f>
        <v>30100959.699999999</v>
      </c>
      <c r="G62" s="22">
        <f>82949.31+27221908.24+90000+76804.92+2760030.72-130733.49</f>
        <v>30100959.699999999</v>
      </c>
      <c r="H62" s="22">
        <f>82949.31+27221908.24+90000+76804.92+2760030.72-130733.49</f>
        <v>30100959.699999999</v>
      </c>
      <c r="I62" s="22" t="s">
        <v>25</v>
      </c>
      <c r="K62" s="90"/>
    </row>
    <row r="63" spans="1:11" s="4" customFormat="1" ht="15" customHeight="1" x14ac:dyDescent="0.2">
      <c r="A63" s="126" t="s">
        <v>70</v>
      </c>
      <c r="B63" s="126"/>
      <c r="C63" s="21">
        <v>2120</v>
      </c>
      <c r="D63" s="21">
        <v>112</v>
      </c>
      <c r="E63" s="21"/>
      <c r="F63" s="22">
        <v>3500</v>
      </c>
      <c r="G63" s="22">
        <v>3500</v>
      </c>
      <c r="H63" s="22">
        <v>3500</v>
      </c>
      <c r="I63" s="22" t="s">
        <v>25</v>
      </c>
      <c r="K63" s="90"/>
    </row>
    <row r="64" spans="1:11" s="4" customFormat="1" ht="28.5" customHeight="1" x14ac:dyDescent="0.2">
      <c r="A64" s="126" t="s">
        <v>71</v>
      </c>
      <c r="B64" s="126"/>
      <c r="C64" s="21">
        <v>2130</v>
      </c>
      <c r="D64" s="21">
        <v>113</v>
      </c>
      <c r="E64" s="21"/>
      <c r="F64" s="22"/>
      <c r="G64" s="22"/>
      <c r="H64" s="22"/>
      <c r="I64" s="22" t="s">
        <v>25</v>
      </c>
      <c r="K64" s="90"/>
    </row>
    <row r="65" spans="1:9" s="4" customFormat="1" ht="28.9" customHeight="1" x14ac:dyDescent="0.2">
      <c r="A65" s="126" t="s">
        <v>72</v>
      </c>
      <c r="B65" s="126"/>
      <c r="C65" s="21">
        <v>2140</v>
      </c>
      <c r="D65" s="21">
        <v>119</v>
      </c>
      <c r="E65" s="21"/>
      <c r="F65" s="22">
        <f>8248196.3+25050.69+23195.08+833529.28-39481.51</f>
        <v>9090489.8399999999</v>
      </c>
      <c r="G65" s="22">
        <f>25050.69+8248196.3+23195.08+833529.28-39481.51</f>
        <v>9090489.8399999999</v>
      </c>
      <c r="H65" s="22">
        <f>25050.69+8248196.3+23195.08+833529.28-39481.51</f>
        <v>9090489.8399999999</v>
      </c>
      <c r="I65" s="22" t="s">
        <v>25</v>
      </c>
    </row>
    <row r="66" spans="1:9" s="4" customFormat="1" ht="16.899999999999999" customHeight="1" x14ac:dyDescent="0.2">
      <c r="A66" s="126" t="s">
        <v>73</v>
      </c>
      <c r="B66" s="126"/>
      <c r="C66" s="21">
        <v>2150</v>
      </c>
      <c r="D66" s="21">
        <v>131</v>
      </c>
      <c r="E66" s="21"/>
      <c r="F66" s="22"/>
      <c r="G66" s="22"/>
      <c r="H66" s="22"/>
      <c r="I66" s="22" t="s">
        <v>25</v>
      </c>
    </row>
    <row r="67" spans="1:9" s="4" customFormat="1" ht="27" customHeight="1" x14ac:dyDescent="0.2">
      <c r="A67" s="126" t="s">
        <v>74</v>
      </c>
      <c r="B67" s="126"/>
      <c r="C67" s="21">
        <v>2160</v>
      </c>
      <c r="D67" s="21">
        <v>133</v>
      </c>
      <c r="E67" s="21"/>
      <c r="F67" s="22"/>
      <c r="G67" s="22"/>
      <c r="H67" s="22"/>
      <c r="I67" s="22" t="s">
        <v>25</v>
      </c>
    </row>
    <row r="68" spans="1:9" s="4" customFormat="1" ht="15.75" customHeight="1" x14ac:dyDescent="0.2">
      <c r="A68" s="126" t="s">
        <v>75</v>
      </c>
      <c r="B68" s="126"/>
      <c r="C68" s="21">
        <v>2170</v>
      </c>
      <c r="D68" s="21">
        <v>134</v>
      </c>
      <c r="E68" s="21"/>
      <c r="F68" s="22"/>
      <c r="G68" s="22"/>
      <c r="H68" s="22"/>
      <c r="I68" s="22"/>
    </row>
    <row r="69" spans="1:9" s="4" customFormat="1" ht="30.75" customHeight="1" x14ac:dyDescent="0.2">
      <c r="A69" s="126" t="s">
        <v>76</v>
      </c>
      <c r="B69" s="126"/>
      <c r="C69" s="21">
        <v>2180</v>
      </c>
      <c r="D69" s="21">
        <v>139</v>
      </c>
      <c r="E69" s="21"/>
      <c r="F69" s="44">
        <f>F70</f>
        <v>0</v>
      </c>
      <c r="G69" s="44">
        <f>G70</f>
        <v>0</v>
      </c>
      <c r="H69" s="44">
        <f>H70</f>
        <v>0</v>
      </c>
      <c r="I69" s="22" t="s">
        <v>25</v>
      </c>
    </row>
    <row r="70" spans="1:9" s="4" customFormat="1" ht="25.5" customHeight="1" x14ac:dyDescent="0.2">
      <c r="A70" s="126" t="s">
        <v>77</v>
      </c>
      <c r="B70" s="126"/>
      <c r="C70" s="21">
        <v>2181</v>
      </c>
      <c r="D70" s="21">
        <v>139</v>
      </c>
      <c r="E70" s="21"/>
      <c r="F70" s="22"/>
      <c r="G70" s="22"/>
      <c r="H70" s="22"/>
      <c r="I70" s="22" t="s">
        <v>25</v>
      </c>
    </row>
    <row r="71" spans="1:9" s="76" customFormat="1" ht="15" customHeight="1" x14ac:dyDescent="0.2">
      <c r="A71" s="141" t="s">
        <v>78</v>
      </c>
      <c r="B71" s="141"/>
      <c r="C71" s="25">
        <v>2200</v>
      </c>
      <c r="D71" s="25">
        <v>300</v>
      </c>
      <c r="E71" s="25"/>
      <c r="F71" s="45">
        <f>F72+F75+F76+F77</f>
        <v>0</v>
      </c>
      <c r="G71" s="45">
        <f>G72+G75+G76+G77</f>
        <v>0</v>
      </c>
      <c r="H71" s="45">
        <f>H72+H75+H76+H77</f>
        <v>0</v>
      </c>
      <c r="I71" s="26" t="s">
        <v>25</v>
      </c>
    </row>
    <row r="72" spans="1:9" s="4" customFormat="1" ht="24.6" customHeight="1" x14ac:dyDescent="0.2">
      <c r="A72" s="126" t="s">
        <v>79</v>
      </c>
      <c r="B72" s="126"/>
      <c r="C72" s="21">
        <v>2210</v>
      </c>
      <c r="D72" s="21">
        <v>320</v>
      </c>
      <c r="E72" s="21"/>
      <c r="F72" s="44">
        <f>SUM(F73:F74)</f>
        <v>0</v>
      </c>
      <c r="G72" s="44">
        <f>SUM(G73:G73)</f>
        <v>0</v>
      </c>
      <c r="H72" s="44">
        <f>SUM(H73:H73)</f>
        <v>0</v>
      </c>
      <c r="I72" s="22" t="s">
        <v>25</v>
      </c>
    </row>
    <row r="73" spans="1:9" s="4" customFormat="1" ht="36.6" customHeight="1" x14ac:dyDescent="0.2">
      <c r="A73" s="126" t="s">
        <v>80</v>
      </c>
      <c r="B73" s="126"/>
      <c r="C73" s="21">
        <v>2211</v>
      </c>
      <c r="D73" s="21">
        <v>321</v>
      </c>
      <c r="E73" s="21"/>
      <c r="F73" s="22"/>
      <c r="G73" s="22"/>
      <c r="H73" s="22"/>
      <c r="I73" s="22" t="s">
        <v>25</v>
      </c>
    </row>
    <row r="74" spans="1:9" s="4" customFormat="1" ht="15.6" customHeight="1" x14ac:dyDescent="0.2">
      <c r="A74" s="139" t="s">
        <v>181</v>
      </c>
      <c r="B74" s="140"/>
      <c r="C74" s="21">
        <v>2212</v>
      </c>
      <c r="D74" s="21">
        <v>321</v>
      </c>
      <c r="E74" s="21"/>
      <c r="F74" s="22"/>
      <c r="G74" s="22"/>
      <c r="H74" s="22"/>
      <c r="I74" s="22" t="s">
        <v>25</v>
      </c>
    </row>
    <row r="75" spans="1:9" s="4" customFormat="1" ht="25.9" customHeight="1" x14ac:dyDescent="0.2">
      <c r="A75" s="126" t="s">
        <v>81</v>
      </c>
      <c r="B75" s="126"/>
      <c r="C75" s="21">
        <v>2220</v>
      </c>
      <c r="D75" s="21">
        <v>340</v>
      </c>
      <c r="E75" s="21"/>
      <c r="F75" s="22"/>
      <c r="G75" s="22"/>
      <c r="H75" s="22"/>
      <c r="I75" s="22" t="s">
        <v>25</v>
      </c>
    </row>
    <row r="76" spans="1:9" s="4" customFormat="1" ht="39" customHeight="1" x14ac:dyDescent="0.2">
      <c r="A76" s="126" t="s">
        <v>82</v>
      </c>
      <c r="B76" s="126"/>
      <c r="C76" s="21">
        <v>2230</v>
      </c>
      <c r="D76" s="21">
        <v>350</v>
      </c>
      <c r="E76" s="21"/>
      <c r="F76" s="22"/>
      <c r="G76" s="22"/>
      <c r="H76" s="22"/>
      <c r="I76" s="22" t="s">
        <v>25</v>
      </c>
    </row>
    <row r="77" spans="1:9" s="4" customFormat="1" ht="16.149999999999999" customHeight="1" x14ac:dyDescent="0.2">
      <c r="A77" s="126" t="s">
        <v>83</v>
      </c>
      <c r="B77" s="126"/>
      <c r="C77" s="21">
        <v>2240</v>
      </c>
      <c r="D77" s="21">
        <v>360</v>
      </c>
      <c r="E77" s="21"/>
      <c r="F77" s="22"/>
      <c r="G77" s="22"/>
      <c r="H77" s="22"/>
      <c r="I77" s="22" t="s">
        <v>25</v>
      </c>
    </row>
    <row r="78" spans="1:9" s="76" customFormat="1" ht="15" customHeight="1" x14ac:dyDescent="0.2">
      <c r="A78" s="141" t="s">
        <v>84</v>
      </c>
      <c r="B78" s="141"/>
      <c r="C78" s="25">
        <v>2300</v>
      </c>
      <c r="D78" s="25">
        <v>850</v>
      </c>
      <c r="E78" s="25"/>
      <c r="F78" s="45">
        <f>SUM(F79:F81)</f>
        <v>102009.52</v>
      </c>
      <c r="G78" s="45">
        <f>SUM(G79:G81)</f>
        <v>100225</v>
      </c>
      <c r="H78" s="45">
        <f>SUM(H79:H81)</f>
        <v>100225</v>
      </c>
      <c r="I78" s="26" t="s">
        <v>25</v>
      </c>
    </row>
    <row r="79" spans="1:9" s="4" customFormat="1" ht="24" customHeight="1" x14ac:dyDescent="0.2">
      <c r="A79" s="126" t="s">
        <v>85</v>
      </c>
      <c r="B79" s="126"/>
      <c r="C79" s="21">
        <v>2310</v>
      </c>
      <c r="D79" s="21">
        <v>851</v>
      </c>
      <c r="E79" s="21"/>
      <c r="F79" s="22">
        <v>84040</v>
      </c>
      <c r="G79" s="22">
        <v>87400</v>
      </c>
      <c r="H79" s="22">
        <v>87400</v>
      </c>
      <c r="I79" s="22" t="s">
        <v>25</v>
      </c>
    </row>
    <row r="80" spans="1:9" s="4" customFormat="1" ht="30" customHeight="1" x14ac:dyDescent="0.2">
      <c r="A80" s="126" t="s">
        <v>86</v>
      </c>
      <c r="B80" s="126"/>
      <c r="C80" s="21">
        <v>2320</v>
      </c>
      <c r="D80" s="21">
        <v>852</v>
      </c>
      <c r="E80" s="21"/>
      <c r="F80" s="22">
        <v>0</v>
      </c>
      <c r="G80" s="22"/>
      <c r="H80" s="22"/>
      <c r="I80" s="22" t="s">
        <v>25</v>
      </c>
    </row>
    <row r="81" spans="1:9" s="4" customFormat="1" ht="13.5" customHeight="1" x14ac:dyDescent="0.2">
      <c r="A81" s="126" t="s">
        <v>87</v>
      </c>
      <c r="B81" s="126"/>
      <c r="C81" s="21">
        <v>2330</v>
      </c>
      <c r="D81" s="21">
        <v>853</v>
      </c>
      <c r="E81" s="21"/>
      <c r="F81" s="22">
        <v>17969.52</v>
      </c>
      <c r="G81" s="22">
        <v>12825</v>
      </c>
      <c r="H81" s="22">
        <v>12825</v>
      </c>
      <c r="I81" s="22" t="s">
        <v>25</v>
      </c>
    </row>
    <row r="82" spans="1:9" s="4" customFormat="1" ht="13.5" customHeight="1" x14ac:dyDescent="0.2">
      <c r="A82" s="126" t="s">
        <v>88</v>
      </c>
      <c r="B82" s="126"/>
      <c r="C82" s="21">
        <v>2400</v>
      </c>
      <c r="D82" s="21" t="s">
        <v>25</v>
      </c>
      <c r="E82" s="21"/>
      <c r="F82" s="44">
        <f>SUM(F83:F85)</f>
        <v>0</v>
      </c>
      <c r="G82" s="44">
        <f>SUM(G83:G85)</f>
        <v>0</v>
      </c>
      <c r="H82" s="44">
        <f>SUM(H83:H85)</f>
        <v>0</v>
      </c>
      <c r="I82" s="22" t="s">
        <v>25</v>
      </c>
    </row>
    <row r="83" spans="1:9" s="4" customFormat="1" ht="21.6" customHeight="1" x14ac:dyDescent="0.2">
      <c r="A83" s="126" t="s">
        <v>89</v>
      </c>
      <c r="B83" s="126"/>
      <c r="C83" s="21">
        <v>2410</v>
      </c>
      <c r="D83" s="21">
        <v>613</v>
      </c>
      <c r="E83" s="21"/>
      <c r="F83" s="22"/>
      <c r="G83" s="22"/>
      <c r="H83" s="22"/>
      <c r="I83" s="22" t="s">
        <v>25</v>
      </c>
    </row>
    <row r="84" spans="1:9" s="4" customFormat="1" ht="15" customHeight="1" x14ac:dyDescent="0.2">
      <c r="A84" s="126" t="s">
        <v>90</v>
      </c>
      <c r="B84" s="126"/>
      <c r="C84" s="21">
        <v>2420</v>
      </c>
      <c r="D84" s="21">
        <v>623</v>
      </c>
      <c r="E84" s="21"/>
      <c r="F84" s="22"/>
      <c r="G84" s="22"/>
      <c r="H84" s="22"/>
      <c r="I84" s="22" t="s">
        <v>25</v>
      </c>
    </row>
    <row r="85" spans="1:9" s="4" customFormat="1" ht="30" customHeight="1" x14ac:dyDescent="0.2">
      <c r="A85" s="126" t="s">
        <v>91</v>
      </c>
      <c r="B85" s="126"/>
      <c r="C85" s="21">
        <v>2430</v>
      </c>
      <c r="D85" s="21">
        <v>634</v>
      </c>
      <c r="E85" s="21"/>
      <c r="F85" s="22"/>
      <c r="G85" s="22"/>
      <c r="H85" s="22"/>
      <c r="I85" s="22" t="s">
        <v>25</v>
      </c>
    </row>
    <row r="86" spans="1:9" s="4" customFormat="1" ht="16.899999999999999" customHeight="1" x14ac:dyDescent="0.2">
      <c r="A86" s="139" t="s">
        <v>92</v>
      </c>
      <c r="B86" s="140"/>
      <c r="C86" s="21">
        <v>2440</v>
      </c>
      <c r="D86" s="21">
        <v>810</v>
      </c>
      <c r="E86" s="21"/>
      <c r="F86" s="22"/>
      <c r="G86" s="22"/>
      <c r="H86" s="22"/>
      <c r="I86" s="22"/>
    </row>
    <row r="87" spans="1:9" s="4" customFormat="1" ht="16.899999999999999" customHeight="1" x14ac:dyDescent="0.2">
      <c r="A87" s="139" t="s">
        <v>93</v>
      </c>
      <c r="B87" s="140"/>
      <c r="C87" s="21">
        <v>2450</v>
      </c>
      <c r="D87" s="21">
        <v>862</v>
      </c>
      <c r="E87" s="21"/>
      <c r="F87" s="22"/>
      <c r="G87" s="22"/>
      <c r="H87" s="22"/>
      <c r="I87" s="22"/>
    </row>
    <row r="88" spans="1:9" s="4" customFormat="1" ht="30.75" customHeight="1" x14ac:dyDescent="0.2">
      <c r="A88" s="139" t="s">
        <v>94</v>
      </c>
      <c r="B88" s="140"/>
      <c r="C88" s="21">
        <v>2460</v>
      </c>
      <c r="D88" s="21">
        <v>863</v>
      </c>
      <c r="E88" s="21"/>
      <c r="F88" s="22"/>
      <c r="G88" s="22"/>
      <c r="H88" s="22"/>
      <c r="I88" s="22"/>
    </row>
    <row r="89" spans="1:9" s="4" customFormat="1" ht="15" customHeight="1" x14ac:dyDescent="0.2">
      <c r="A89" s="126" t="s">
        <v>95</v>
      </c>
      <c r="B89" s="126"/>
      <c r="C89" s="21">
        <v>2500</v>
      </c>
      <c r="D89" s="21" t="s">
        <v>25</v>
      </c>
      <c r="E89" s="21"/>
      <c r="F89" s="44">
        <f>F90</f>
        <v>0</v>
      </c>
      <c r="G89" s="44">
        <f>G90</f>
        <v>0</v>
      </c>
      <c r="H89" s="44">
        <f>H90</f>
        <v>0</v>
      </c>
      <c r="I89" s="22" t="s">
        <v>25</v>
      </c>
    </row>
    <row r="90" spans="1:9" s="4" customFormat="1" ht="31.5" customHeight="1" x14ac:dyDescent="0.2">
      <c r="A90" s="126" t="s">
        <v>96</v>
      </c>
      <c r="B90" s="126"/>
      <c r="C90" s="21">
        <v>2520</v>
      </c>
      <c r="D90" s="21">
        <v>831</v>
      </c>
      <c r="E90" s="21"/>
      <c r="F90" s="22"/>
      <c r="G90" s="22"/>
      <c r="H90" s="22"/>
      <c r="I90" s="22" t="s">
        <v>25</v>
      </c>
    </row>
    <row r="91" spans="1:9" s="76" customFormat="1" ht="15" customHeight="1" x14ac:dyDescent="0.2">
      <c r="A91" s="141" t="s">
        <v>97</v>
      </c>
      <c r="B91" s="141"/>
      <c r="C91" s="25">
        <v>2600</v>
      </c>
      <c r="D91" s="25" t="s">
        <v>25</v>
      </c>
      <c r="E91" s="25"/>
      <c r="F91" s="45">
        <f>F92+F93+F94+F106+F103</f>
        <v>17429282.68</v>
      </c>
      <c r="G91" s="45">
        <f>G92+G93+G94+G106+G103</f>
        <v>19203604.689999998</v>
      </c>
      <c r="H91" s="45">
        <f>H92+H93+H94+H106+H103</f>
        <v>18904984.009999998</v>
      </c>
      <c r="I91" s="26"/>
    </row>
    <row r="92" spans="1:9" s="4" customFormat="1" ht="30" customHeight="1" x14ac:dyDescent="0.2">
      <c r="A92" s="126" t="s">
        <v>98</v>
      </c>
      <c r="B92" s="126"/>
      <c r="C92" s="21">
        <v>2610</v>
      </c>
      <c r="D92" s="21">
        <v>241</v>
      </c>
      <c r="E92" s="21"/>
      <c r="F92" s="22"/>
      <c r="G92" s="22"/>
      <c r="H92" s="22"/>
      <c r="I92" s="22"/>
    </row>
    <row r="93" spans="1:9" s="4" customFormat="1" ht="27.75" customHeight="1" x14ac:dyDescent="0.2">
      <c r="A93" s="126" t="s">
        <v>99</v>
      </c>
      <c r="B93" s="126"/>
      <c r="C93" s="21">
        <v>2630</v>
      </c>
      <c r="D93" s="21">
        <v>243</v>
      </c>
      <c r="E93" s="21"/>
      <c r="F93" s="22"/>
      <c r="G93" s="22"/>
      <c r="H93" s="22"/>
      <c r="I93" s="22"/>
    </row>
    <row r="94" spans="1:9" s="76" customFormat="1" ht="15" customHeight="1" x14ac:dyDescent="0.2">
      <c r="A94" s="141" t="s">
        <v>100</v>
      </c>
      <c r="B94" s="141"/>
      <c r="C94" s="25">
        <v>2640</v>
      </c>
      <c r="D94" s="25">
        <v>244</v>
      </c>
      <c r="E94" s="25"/>
      <c r="F94" s="45">
        <f>SUM(F95:F102)</f>
        <v>14871560.02</v>
      </c>
      <c r="G94" s="45">
        <f>SUM(G95:G101)</f>
        <v>16852416.689999998</v>
      </c>
      <c r="H94" s="45">
        <f>SUM(H95:H101)</f>
        <v>16553796.009999998</v>
      </c>
      <c r="I94" s="26"/>
    </row>
    <row r="95" spans="1:9" s="4" customFormat="1" ht="14.45" customHeight="1" x14ac:dyDescent="0.2">
      <c r="A95" s="144" t="s">
        <v>101</v>
      </c>
      <c r="B95" s="145"/>
      <c r="C95" s="21"/>
      <c r="D95" s="23"/>
      <c r="E95" s="21"/>
      <c r="F95" s="22"/>
      <c r="G95" s="22"/>
      <c r="H95" s="22"/>
      <c r="I95" s="22"/>
    </row>
    <row r="96" spans="1:9" s="4" customFormat="1" ht="16.149999999999999" customHeight="1" x14ac:dyDescent="0.2">
      <c r="A96" s="126" t="s">
        <v>102</v>
      </c>
      <c r="B96" s="126"/>
      <c r="C96" s="21">
        <v>2641</v>
      </c>
      <c r="D96" s="23" t="s">
        <v>103</v>
      </c>
      <c r="E96" s="21"/>
      <c r="F96" s="22">
        <v>611839.01</v>
      </c>
      <c r="G96" s="22">
        <v>234490.45</v>
      </c>
      <c r="H96" s="22">
        <v>234490.45</v>
      </c>
      <c r="I96" s="22"/>
    </row>
    <row r="97" spans="1:9" s="4" customFormat="1" ht="13.15" customHeight="1" x14ac:dyDescent="0.2">
      <c r="A97" s="126" t="s">
        <v>104</v>
      </c>
      <c r="B97" s="126"/>
      <c r="C97" s="21">
        <v>2642</v>
      </c>
      <c r="D97" s="23" t="s">
        <v>103</v>
      </c>
      <c r="E97" s="21"/>
      <c r="F97" s="22">
        <f>30000+294220.46</f>
        <v>324220.46000000002</v>
      </c>
      <c r="G97" s="22">
        <v>290000</v>
      </c>
      <c r="H97" s="22">
        <v>290000</v>
      </c>
      <c r="I97" s="22"/>
    </row>
    <row r="98" spans="1:9" s="4" customFormat="1" ht="15" customHeight="1" x14ac:dyDescent="0.2">
      <c r="A98" s="144" t="s">
        <v>105</v>
      </c>
      <c r="B98" s="145"/>
      <c r="C98" s="24">
        <v>2643</v>
      </c>
      <c r="D98" s="23" t="s">
        <v>103</v>
      </c>
      <c r="E98" s="21"/>
      <c r="F98" s="22">
        <v>514086.15</v>
      </c>
      <c r="G98" s="22">
        <f>273209.72+50000</f>
        <v>323209.71999999997</v>
      </c>
      <c r="H98" s="22">
        <f>273209.72+50000</f>
        <v>323209.71999999997</v>
      </c>
      <c r="I98" s="22"/>
    </row>
    <row r="99" spans="1:9" s="4" customFormat="1" ht="14.45" customHeight="1" x14ac:dyDescent="0.2">
      <c r="A99" s="126" t="s">
        <v>106</v>
      </c>
      <c r="B99" s="126"/>
      <c r="C99" s="21">
        <v>2644</v>
      </c>
      <c r="D99" s="23" t="s">
        <v>103</v>
      </c>
      <c r="E99" s="21"/>
      <c r="F99" s="22">
        <v>9351304.1099999994</v>
      </c>
      <c r="G99" s="22">
        <f>535232.88+1799245.32+205000+8792949.77+45350+25100+11600+236850+18223.07</f>
        <v>11669551.039999999</v>
      </c>
      <c r="H99" s="22">
        <f>535232.88+1799245.32+205000+45350+22330.32+8036+236850+8541399.36</f>
        <v>11393443.879999999</v>
      </c>
      <c r="I99" s="22"/>
    </row>
    <row r="100" spans="1:9" s="4" customFormat="1" ht="16.149999999999999" customHeight="1" x14ac:dyDescent="0.2">
      <c r="A100" s="126" t="s">
        <v>107</v>
      </c>
      <c r="B100" s="126"/>
      <c r="C100" s="24">
        <v>2645</v>
      </c>
      <c r="D100" s="23" t="s">
        <v>103</v>
      </c>
      <c r="E100" s="21"/>
      <c r="F100" s="22">
        <v>3669792.69</v>
      </c>
      <c r="G100" s="22">
        <f>1857200+1500000</f>
        <v>3357200</v>
      </c>
      <c r="H100" s="22">
        <f>1857200+1500000</f>
        <v>3357200</v>
      </c>
      <c r="I100" s="22"/>
    </row>
    <row r="101" spans="1:9" s="4" customFormat="1" ht="13.9" customHeight="1" x14ac:dyDescent="0.2">
      <c r="A101" s="126" t="s">
        <v>108</v>
      </c>
      <c r="B101" s="126"/>
      <c r="C101" s="24">
        <v>2646</v>
      </c>
      <c r="D101" s="23" t="s">
        <v>103</v>
      </c>
      <c r="E101" s="21"/>
      <c r="F101" s="22">
        <v>400317.6</v>
      </c>
      <c r="G101" s="22">
        <f>20665.48+62000+654400+300000+22000+25000-106100</f>
        <v>977965.48</v>
      </c>
      <c r="H101" s="22">
        <f>20665.48+62000+654400+300000+22000+25000-128613.52</f>
        <v>955451.96</v>
      </c>
      <c r="I101" s="22"/>
    </row>
    <row r="102" spans="1:9" s="4" customFormat="1" ht="10.15" customHeight="1" x14ac:dyDescent="0.2">
      <c r="A102" s="139"/>
      <c r="B102" s="140"/>
      <c r="C102" s="24"/>
      <c r="D102" s="23"/>
      <c r="E102" s="21"/>
      <c r="F102" s="22"/>
      <c r="G102" s="22"/>
      <c r="H102" s="22"/>
      <c r="I102" s="22"/>
    </row>
    <row r="103" spans="1:9" s="76" customFormat="1" ht="17.45" customHeight="1" x14ac:dyDescent="0.2">
      <c r="A103" s="142" t="s">
        <v>211</v>
      </c>
      <c r="B103" s="143" t="s">
        <v>211</v>
      </c>
      <c r="C103" s="74">
        <v>2650</v>
      </c>
      <c r="D103" s="75" t="s">
        <v>212</v>
      </c>
      <c r="E103" s="25"/>
      <c r="F103" s="77">
        <f>F105</f>
        <v>2557722.66</v>
      </c>
      <c r="G103" s="77">
        <f>G105</f>
        <v>2351188</v>
      </c>
      <c r="H103" s="77">
        <f>H105</f>
        <v>2351188</v>
      </c>
      <c r="I103" s="26"/>
    </row>
    <row r="104" spans="1:9" s="4" customFormat="1" ht="17.45" customHeight="1" x14ac:dyDescent="0.2">
      <c r="A104" s="144" t="s">
        <v>50</v>
      </c>
      <c r="B104" s="145" t="s">
        <v>50</v>
      </c>
      <c r="C104" s="24"/>
      <c r="D104" s="23"/>
      <c r="E104" s="21"/>
      <c r="F104" s="22"/>
      <c r="G104" s="22"/>
      <c r="H104" s="22"/>
      <c r="I104" s="22"/>
    </row>
    <row r="105" spans="1:9" s="4" customFormat="1" ht="17.45" customHeight="1" x14ac:dyDescent="0.2">
      <c r="A105" s="144" t="s">
        <v>104</v>
      </c>
      <c r="B105" s="145" t="s">
        <v>104</v>
      </c>
      <c r="C105" s="24">
        <v>2651</v>
      </c>
      <c r="D105" s="23" t="s">
        <v>212</v>
      </c>
      <c r="E105" s="21"/>
      <c r="F105" s="22">
        <f>400439.67+2157282.99</f>
        <v>2557722.66</v>
      </c>
      <c r="G105" s="22">
        <v>2351188</v>
      </c>
      <c r="H105" s="22">
        <v>2351188</v>
      </c>
      <c r="I105" s="22"/>
    </row>
    <row r="106" spans="1:9" s="4" customFormat="1" ht="21.6" customHeight="1" x14ac:dyDescent="0.2">
      <c r="A106" s="139" t="s">
        <v>109</v>
      </c>
      <c r="B106" s="140"/>
      <c r="C106" s="21">
        <v>2650</v>
      </c>
      <c r="D106" s="21">
        <v>400</v>
      </c>
      <c r="E106" s="21"/>
      <c r="F106" s="22">
        <f>F107+F108</f>
        <v>0</v>
      </c>
      <c r="G106" s="22">
        <f>G107+G108</f>
        <v>0</v>
      </c>
      <c r="H106" s="22">
        <f>H107+H108</f>
        <v>0</v>
      </c>
      <c r="I106" s="22">
        <f>I107+I108</f>
        <v>0</v>
      </c>
    </row>
    <row r="107" spans="1:9" s="4" customFormat="1" ht="37.9" customHeight="1" x14ac:dyDescent="0.2">
      <c r="A107" s="139" t="s">
        <v>110</v>
      </c>
      <c r="B107" s="140"/>
      <c r="C107" s="21">
        <v>2651</v>
      </c>
      <c r="D107" s="21">
        <v>406</v>
      </c>
      <c r="E107" s="21"/>
      <c r="F107" s="22"/>
      <c r="G107" s="22"/>
      <c r="H107" s="22"/>
      <c r="I107" s="22"/>
    </row>
    <row r="108" spans="1:9" s="4" customFormat="1" ht="30" customHeight="1" x14ac:dyDescent="0.2">
      <c r="A108" s="139" t="s">
        <v>111</v>
      </c>
      <c r="B108" s="140"/>
      <c r="C108" s="21">
        <v>2652</v>
      </c>
      <c r="D108" s="21">
        <v>407</v>
      </c>
      <c r="E108" s="21"/>
      <c r="F108" s="22"/>
      <c r="G108" s="22"/>
      <c r="H108" s="22"/>
      <c r="I108" s="22"/>
    </row>
    <row r="109" spans="1:9" s="4" customFormat="1" ht="15" customHeight="1" x14ac:dyDescent="0.2">
      <c r="A109" s="141" t="s">
        <v>112</v>
      </c>
      <c r="B109" s="141"/>
      <c r="C109" s="25">
        <v>3000</v>
      </c>
      <c r="D109" s="25">
        <v>100</v>
      </c>
      <c r="E109" s="21"/>
      <c r="F109" s="45">
        <f>SUM(F110:F112)</f>
        <v>0</v>
      </c>
      <c r="G109" s="45">
        <f>SUM(G110:G112)</f>
        <v>0</v>
      </c>
      <c r="H109" s="45">
        <f>SUM(H110:H112)</f>
        <v>0</v>
      </c>
      <c r="I109" s="26" t="s">
        <v>25</v>
      </c>
    </row>
    <row r="110" spans="1:9" s="4" customFormat="1" ht="26.25" customHeight="1" x14ac:dyDescent="0.2">
      <c r="A110" s="126" t="s">
        <v>113</v>
      </c>
      <c r="B110" s="126"/>
      <c r="C110" s="21">
        <v>3010</v>
      </c>
      <c r="D110" s="21"/>
      <c r="E110" s="25"/>
      <c r="F110" s="22"/>
      <c r="G110" s="22"/>
      <c r="H110" s="22"/>
      <c r="I110" s="22" t="s">
        <v>25</v>
      </c>
    </row>
    <row r="111" spans="1:9" s="4" customFormat="1" ht="15" customHeight="1" x14ac:dyDescent="0.2">
      <c r="A111" s="126" t="s">
        <v>114</v>
      </c>
      <c r="B111" s="126"/>
      <c r="C111" s="21">
        <v>3020</v>
      </c>
      <c r="D111" s="21"/>
      <c r="E111" s="21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115</v>
      </c>
      <c r="B112" s="126"/>
      <c r="C112" s="21">
        <v>3030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41" t="s">
        <v>116</v>
      </c>
      <c r="B113" s="141"/>
      <c r="C113" s="25">
        <v>4000</v>
      </c>
      <c r="D113" s="25" t="s">
        <v>25</v>
      </c>
      <c r="E113" s="21"/>
      <c r="F113" s="45">
        <f>F114</f>
        <v>472086.57</v>
      </c>
      <c r="G113" s="26">
        <f>G114</f>
        <v>0</v>
      </c>
      <c r="H113" s="26">
        <f>H114</f>
        <v>0</v>
      </c>
      <c r="I113" s="26" t="s">
        <v>25</v>
      </c>
    </row>
    <row r="114" spans="1:11" s="4" customFormat="1" ht="25.5" customHeight="1" x14ac:dyDescent="0.2">
      <c r="A114" s="126" t="s">
        <v>117</v>
      </c>
      <c r="B114" s="126"/>
      <c r="C114" s="21">
        <v>4010</v>
      </c>
      <c r="D114" s="21">
        <v>610</v>
      </c>
      <c r="E114" s="25"/>
      <c r="F114" s="22">
        <f>378548.25+72228.32+21310</f>
        <v>472086.57</v>
      </c>
      <c r="G114" s="22"/>
      <c r="H114" s="22"/>
      <c r="I114" s="22" t="s">
        <v>25</v>
      </c>
    </row>
    <row r="115" spans="1:11" s="4" customFormat="1" ht="9.6" customHeight="1" x14ac:dyDescent="0.2">
      <c r="A115" s="27"/>
      <c r="B115" s="28"/>
      <c r="C115" s="29"/>
      <c r="D115" s="29"/>
      <c r="E115" s="30"/>
      <c r="F115" s="31"/>
      <c r="G115" s="31"/>
      <c r="H115" s="31"/>
      <c r="I115" s="31"/>
    </row>
    <row r="116" spans="1:11" x14ac:dyDescent="0.25">
      <c r="A116" s="127" t="s">
        <v>118</v>
      </c>
      <c r="B116" s="127"/>
      <c r="C116" s="127"/>
      <c r="D116" s="127"/>
      <c r="E116" s="127"/>
      <c r="F116" s="127"/>
      <c r="G116" s="127"/>
      <c r="H116" s="127"/>
      <c r="I116" s="32"/>
    </row>
    <row r="117" spans="1:11" ht="7.9" customHeight="1" x14ac:dyDescent="0.25">
      <c r="A117" s="33"/>
      <c r="B117" s="32"/>
      <c r="C117" s="34"/>
      <c r="D117" s="34"/>
      <c r="E117" s="34"/>
      <c r="F117" s="34"/>
      <c r="G117" s="34"/>
      <c r="H117" s="34"/>
      <c r="I117" s="32"/>
    </row>
    <row r="118" spans="1:11" ht="15.6" customHeight="1" x14ac:dyDescent="0.25">
      <c r="A118" s="128" t="s">
        <v>119</v>
      </c>
      <c r="B118" s="128" t="s">
        <v>12</v>
      </c>
      <c r="C118" s="128" t="s">
        <v>120</v>
      </c>
      <c r="D118" s="128" t="s">
        <v>121</v>
      </c>
      <c r="E118" s="131" t="s">
        <v>14</v>
      </c>
      <c r="F118" s="134" t="s">
        <v>16</v>
      </c>
      <c r="G118" s="135"/>
      <c r="H118" s="135"/>
      <c r="I118" s="136"/>
    </row>
    <row r="119" spans="1:11" ht="19.899999999999999" customHeight="1" x14ac:dyDescent="0.25">
      <c r="A119" s="129"/>
      <c r="B119" s="129"/>
      <c r="C119" s="129"/>
      <c r="D119" s="129"/>
      <c r="E119" s="132"/>
      <c r="F119" s="11" t="s">
        <v>17</v>
      </c>
      <c r="G119" s="11" t="s">
        <v>18</v>
      </c>
      <c r="H119" s="11" t="s">
        <v>218</v>
      </c>
      <c r="I119" s="137" t="s">
        <v>19</v>
      </c>
    </row>
    <row r="120" spans="1:11" ht="36.6" customHeight="1" x14ac:dyDescent="0.25">
      <c r="A120" s="130"/>
      <c r="B120" s="130"/>
      <c r="C120" s="130"/>
      <c r="D120" s="130"/>
      <c r="E120" s="133"/>
      <c r="F120" s="11" t="s">
        <v>20</v>
      </c>
      <c r="G120" s="11" t="s">
        <v>21</v>
      </c>
      <c r="H120" s="11" t="s">
        <v>22</v>
      </c>
      <c r="I120" s="138"/>
    </row>
    <row r="121" spans="1:11" ht="14.45" customHeight="1" x14ac:dyDescent="0.25">
      <c r="A121" s="19">
        <v>1</v>
      </c>
      <c r="B121" s="11">
        <v>2</v>
      </c>
      <c r="C121" s="11">
        <v>3</v>
      </c>
      <c r="D121" s="11">
        <v>4</v>
      </c>
      <c r="E121" s="12" t="s">
        <v>122</v>
      </c>
      <c r="F121" s="11">
        <v>5</v>
      </c>
      <c r="G121" s="11">
        <v>6</v>
      </c>
      <c r="H121" s="11">
        <v>7</v>
      </c>
      <c r="I121" s="11">
        <v>8</v>
      </c>
    </row>
    <row r="122" spans="1:11" ht="21" customHeight="1" x14ac:dyDescent="0.25">
      <c r="A122" s="19">
        <v>1</v>
      </c>
      <c r="B122" s="35" t="s">
        <v>123</v>
      </c>
      <c r="C122" s="25">
        <v>26000</v>
      </c>
      <c r="D122" s="25" t="s">
        <v>25</v>
      </c>
      <c r="E122" s="10" t="s">
        <v>25</v>
      </c>
      <c r="F122" s="45">
        <f>F123+F124+F125+F129</f>
        <v>17429282.68</v>
      </c>
      <c r="G122" s="45">
        <f>G123+G124+G125+G129</f>
        <v>19203604.689999998</v>
      </c>
      <c r="H122" s="45">
        <f>H123+H124+H125+H129</f>
        <v>18904984.009999998</v>
      </c>
      <c r="I122" s="26">
        <f>I123+I124+I125+I129</f>
        <v>0</v>
      </c>
    </row>
    <row r="123" spans="1:11" ht="145.15" customHeight="1" x14ac:dyDescent="0.25">
      <c r="A123" s="36" t="s">
        <v>124</v>
      </c>
      <c r="B123" s="37" t="s">
        <v>125</v>
      </c>
      <c r="C123" s="38">
        <v>26100</v>
      </c>
      <c r="D123" s="21" t="s">
        <v>25</v>
      </c>
      <c r="E123" s="10" t="s">
        <v>25</v>
      </c>
      <c r="F123" s="22"/>
      <c r="G123" s="22"/>
      <c r="H123" s="22"/>
      <c r="I123" s="22"/>
    </row>
    <row r="124" spans="1:11" ht="40.9" customHeight="1" x14ac:dyDescent="0.25">
      <c r="A124" s="36" t="s">
        <v>126</v>
      </c>
      <c r="B124" s="37" t="s">
        <v>127</v>
      </c>
      <c r="C124" s="38">
        <v>26200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39" customHeight="1" x14ac:dyDescent="0.25">
      <c r="A125" s="36" t="s">
        <v>128</v>
      </c>
      <c r="B125" s="37" t="s">
        <v>129</v>
      </c>
      <c r="C125" s="38">
        <v>26300</v>
      </c>
      <c r="D125" s="21" t="s">
        <v>25</v>
      </c>
      <c r="E125" s="10" t="s">
        <v>25</v>
      </c>
      <c r="F125" s="22">
        <v>4552108.6100000003</v>
      </c>
      <c r="G125" s="22">
        <v>0</v>
      </c>
      <c r="H125" s="22">
        <v>0</v>
      </c>
      <c r="I125" s="22"/>
    </row>
    <row r="126" spans="1:11" ht="14.45" customHeight="1" x14ac:dyDescent="0.25">
      <c r="A126" s="39" t="s">
        <v>130</v>
      </c>
      <c r="B126" s="37" t="s">
        <v>131</v>
      </c>
      <c r="C126" s="38">
        <v>26310</v>
      </c>
      <c r="D126" s="21" t="s">
        <v>25</v>
      </c>
      <c r="E126" s="40" t="s">
        <v>25</v>
      </c>
      <c r="F126" s="44">
        <f>F125</f>
        <v>4552108.6100000003</v>
      </c>
      <c r="G126" s="22"/>
      <c r="H126" s="22"/>
      <c r="I126" s="22"/>
    </row>
    <row r="127" spans="1:11" x14ac:dyDescent="0.25">
      <c r="A127" s="39"/>
      <c r="B127" s="37" t="s">
        <v>191</v>
      </c>
      <c r="C127" s="38" t="s">
        <v>132</v>
      </c>
      <c r="D127" s="21" t="s">
        <v>25</v>
      </c>
      <c r="E127" s="10">
        <v>150</v>
      </c>
      <c r="F127" s="22">
        <v>45350</v>
      </c>
      <c r="G127" s="22"/>
      <c r="H127" s="22"/>
      <c r="I127" s="22"/>
      <c r="J127" s="53"/>
      <c r="K127" s="53"/>
    </row>
    <row r="128" spans="1:11" ht="15.6" customHeight="1" x14ac:dyDescent="0.25">
      <c r="A128" s="39" t="s">
        <v>133</v>
      </c>
      <c r="B128" s="37" t="s">
        <v>134</v>
      </c>
      <c r="C128" s="38">
        <v>26320</v>
      </c>
      <c r="D128" s="21" t="s">
        <v>25</v>
      </c>
      <c r="E128" s="10" t="s">
        <v>25</v>
      </c>
      <c r="F128" s="22"/>
      <c r="G128" s="22"/>
      <c r="H128" s="22"/>
      <c r="I128" s="22"/>
    </row>
    <row r="129" spans="1:12" ht="39.6" customHeight="1" x14ac:dyDescent="0.25">
      <c r="A129" s="36" t="s">
        <v>135</v>
      </c>
      <c r="B129" s="37" t="s">
        <v>136</v>
      </c>
      <c r="C129" s="38">
        <v>26400</v>
      </c>
      <c r="D129" s="21" t="s">
        <v>25</v>
      </c>
      <c r="E129" s="10" t="s">
        <v>25</v>
      </c>
      <c r="F129" s="44">
        <f>F130+F133+F140+F142+F145</f>
        <v>12877174.07</v>
      </c>
      <c r="G129" s="44">
        <f>G130+G133+G140+G142+G145</f>
        <v>19203604.689999998</v>
      </c>
      <c r="H129" s="44">
        <f>H130+H133+H140+H142+H145</f>
        <v>18904984.009999998</v>
      </c>
      <c r="I129" s="22">
        <f>I130+I133+I140+I142+I145</f>
        <v>0</v>
      </c>
      <c r="J129" s="50"/>
      <c r="K129" s="6"/>
      <c r="L129" s="6"/>
    </row>
    <row r="130" spans="1:12" ht="38.450000000000003" customHeight="1" x14ac:dyDescent="0.25">
      <c r="A130" s="39" t="s">
        <v>137</v>
      </c>
      <c r="B130" s="37" t="s">
        <v>138</v>
      </c>
      <c r="C130" s="38">
        <v>26410</v>
      </c>
      <c r="D130" s="21" t="s">
        <v>25</v>
      </c>
      <c r="E130" s="10" t="s">
        <v>25</v>
      </c>
      <c r="F130" s="44">
        <f>F131+F132</f>
        <v>2063018.8200000003</v>
      </c>
      <c r="G130" s="44">
        <f>G131+G132</f>
        <v>6583666.3699999973</v>
      </c>
      <c r="H130" s="44">
        <f>H131+H132</f>
        <v>6561152.8499999996</v>
      </c>
      <c r="I130" s="22">
        <f>I131+I132</f>
        <v>0</v>
      </c>
    </row>
    <row r="131" spans="1:12" ht="26.25" x14ac:dyDescent="0.25">
      <c r="A131" s="39" t="s">
        <v>139</v>
      </c>
      <c r="B131" s="37" t="s">
        <v>140</v>
      </c>
      <c r="C131" s="38">
        <v>26411</v>
      </c>
      <c r="D131" s="21" t="s">
        <v>25</v>
      </c>
      <c r="E131" s="10" t="s">
        <v>25</v>
      </c>
      <c r="F131" s="44">
        <f>F91-F125-F133-F145-F123</f>
        <v>2063018.8200000003</v>
      </c>
      <c r="G131" s="44">
        <f>G91-G125-G133-G145</f>
        <v>6583666.3699999973</v>
      </c>
      <c r="H131" s="44">
        <f>H91-H125-H133-H145</f>
        <v>6561152.8499999996</v>
      </c>
      <c r="I131" s="22"/>
    </row>
    <row r="132" spans="1:12" ht="19.899999999999999" customHeight="1" x14ac:dyDescent="0.25">
      <c r="A132" s="39" t="s">
        <v>141</v>
      </c>
      <c r="B132" s="37" t="s">
        <v>142</v>
      </c>
      <c r="C132" s="21">
        <v>26412</v>
      </c>
      <c r="D132" s="21" t="s">
        <v>25</v>
      </c>
      <c r="E132" s="10" t="s">
        <v>25</v>
      </c>
      <c r="F132" s="22"/>
      <c r="G132" s="22"/>
      <c r="H132" s="22"/>
      <c r="I132" s="22"/>
    </row>
    <row r="133" spans="1:12" ht="28.9" customHeight="1" x14ac:dyDescent="0.25">
      <c r="A133" s="39" t="s">
        <v>143</v>
      </c>
      <c r="B133" s="37" t="s">
        <v>144</v>
      </c>
      <c r="C133" s="38">
        <v>26420</v>
      </c>
      <c r="D133" s="21" t="s">
        <v>25</v>
      </c>
      <c r="E133" s="10" t="s">
        <v>25</v>
      </c>
      <c r="F133" s="44">
        <f>F134+F139</f>
        <v>10622155.25</v>
      </c>
      <c r="G133" s="44">
        <f>G134+G139</f>
        <v>12537272.84</v>
      </c>
      <c r="H133" s="44">
        <f>H134+H139</f>
        <v>12261165.679999998</v>
      </c>
      <c r="I133" s="22">
        <f>I134+I139</f>
        <v>0</v>
      </c>
    </row>
    <row r="134" spans="1:12" ht="26.45" customHeight="1" x14ac:dyDescent="0.25">
      <c r="A134" s="39" t="s">
        <v>145</v>
      </c>
      <c r="B134" s="37" t="s">
        <v>140</v>
      </c>
      <c r="C134" s="38">
        <v>26421</v>
      </c>
      <c r="D134" s="21" t="s">
        <v>25</v>
      </c>
      <c r="E134" s="10" t="s">
        <v>25</v>
      </c>
      <c r="F134" s="82">
        <f>F35-76804.92-23195.08-F52-F127</f>
        <v>10622155.25</v>
      </c>
      <c r="G134" s="44">
        <f>G35-76804.92-23195.08-G52</f>
        <v>12537272.84</v>
      </c>
      <c r="H134" s="44">
        <f>H35-76804.92-23195.08-H52</f>
        <v>12261165.679999998</v>
      </c>
      <c r="I134" s="22"/>
    </row>
    <row r="135" spans="1:12" ht="15.6" customHeight="1" x14ac:dyDescent="0.25">
      <c r="A135" s="39"/>
      <c r="B135" s="37" t="s">
        <v>146</v>
      </c>
      <c r="C135" s="38" t="s">
        <v>147</v>
      </c>
      <c r="D135" s="21" t="s">
        <v>25</v>
      </c>
      <c r="E135" s="10">
        <v>150</v>
      </c>
      <c r="F135" s="44">
        <f>F134-F136-F137-F138</f>
        <v>4490085.26</v>
      </c>
      <c r="G135" s="44">
        <f>G134-G136-G137-G138</f>
        <v>3744323.0699999994</v>
      </c>
      <c r="H135" s="44">
        <f>H134-H136-H137-H138</f>
        <v>3719766.319999998</v>
      </c>
      <c r="I135" s="22"/>
    </row>
    <row r="136" spans="1:12" ht="55.15" customHeight="1" x14ac:dyDescent="0.25">
      <c r="A136" s="39"/>
      <c r="B136" s="37" t="s">
        <v>198</v>
      </c>
      <c r="C136" s="38" t="s">
        <v>225</v>
      </c>
      <c r="D136" s="21" t="s">
        <v>25</v>
      </c>
      <c r="E136" s="10" t="s">
        <v>197</v>
      </c>
      <c r="F136" s="44">
        <f>F49</f>
        <v>4520564.6500000004</v>
      </c>
      <c r="G136" s="44">
        <v>6481945.7000000002</v>
      </c>
      <c r="H136" s="44">
        <f>H49</f>
        <v>6482395.7000000002</v>
      </c>
      <c r="I136" s="22"/>
    </row>
    <row r="137" spans="1:12" ht="59.45" customHeight="1" x14ac:dyDescent="0.25">
      <c r="A137" s="39"/>
      <c r="B137" s="37" t="s">
        <v>199</v>
      </c>
      <c r="C137" s="38" t="s">
        <v>226</v>
      </c>
      <c r="D137" s="21" t="s">
        <v>25</v>
      </c>
      <c r="E137" s="10" t="s">
        <v>197</v>
      </c>
      <c r="F137" s="44">
        <f>F50</f>
        <v>1427543.13</v>
      </c>
      <c r="G137" s="44">
        <v>2046995.37</v>
      </c>
      <c r="H137" s="44">
        <f>H50</f>
        <v>1802579.38</v>
      </c>
      <c r="I137" s="22"/>
    </row>
    <row r="138" spans="1:12" ht="53.45" customHeight="1" x14ac:dyDescent="0.25">
      <c r="A138" s="39"/>
      <c r="B138" s="37" t="s">
        <v>200</v>
      </c>
      <c r="C138" s="38" t="s">
        <v>194</v>
      </c>
      <c r="D138" s="21" t="s">
        <v>25</v>
      </c>
      <c r="E138" s="10" t="s">
        <v>197</v>
      </c>
      <c r="F138" s="44">
        <f>F51</f>
        <v>183962.21</v>
      </c>
      <c r="G138" s="44">
        <v>264008.7</v>
      </c>
      <c r="H138" s="44">
        <f>H51</f>
        <v>256424.28</v>
      </c>
      <c r="I138" s="22"/>
    </row>
    <row r="139" spans="1:12" ht="19.899999999999999" customHeight="1" x14ac:dyDescent="0.25">
      <c r="A139" s="39" t="s">
        <v>148</v>
      </c>
      <c r="B139" s="37" t="s">
        <v>142</v>
      </c>
      <c r="C139" s="38">
        <v>26422</v>
      </c>
      <c r="D139" s="21" t="s">
        <v>25</v>
      </c>
      <c r="E139" s="10" t="s">
        <v>25</v>
      </c>
      <c r="F139" s="22"/>
      <c r="G139" s="22"/>
      <c r="H139" s="22"/>
      <c r="I139" s="22"/>
    </row>
    <row r="140" spans="1:12" ht="18.600000000000001" customHeight="1" x14ac:dyDescent="0.25">
      <c r="A140" s="39" t="s">
        <v>149</v>
      </c>
      <c r="B140" s="37" t="s">
        <v>150</v>
      </c>
      <c r="C140" s="38">
        <v>26430</v>
      </c>
      <c r="D140" s="21" t="s">
        <v>25</v>
      </c>
      <c r="E140" s="10" t="s">
        <v>25</v>
      </c>
      <c r="F140" s="22"/>
      <c r="G140" s="22"/>
      <c r="H140" s="22"/>
      <c r="I140" s="22"/>
      <c r="L140" s="51"/>
    </row>
    <row r="141" spans="1:12" ht="16.899999999999999" customHeight="1" x14ac:dyDescent="0.25">
      <c r="A141" s="39"/>
      <c r="B141" s="37" t="s">
        <v>146</v>
      </c>
      <c r="C141" s="38" t="s">
        <v>151</v>
      </c>
      <c r="D141" s="21" t="s">
        <v>25</v>
      </c>
      <c r="E141" s="10"/>
      <c r="F141" s="22"/>
      <c r="G141" s="22"/>
      <c r="H141" s="22"/>
      <c r="I141" s="22"/>
    </row>
    <row r="142" spans="1:12" ht="19.149999999999999" customHeight="1" x14ac:dyDescent="0.25">
      <c r="A142" s="39" t="s">
        <v>152</v>
      </c>
      <c r="B142" s="37" t="s">
        <v>153</v>
      </c>
      <c r="C142" s="38">
        <v>26440</v>
      </c>
      <c r="D142" s="21" t="s">
        <v>25</v>
      </c>
      <c r="E142" s="10" t="s">
        <v>25</v>
      </c>
      <c r="F142" s="44">
        <f>F143+F144</f>
        <v>0</v>
      </c>
      <c r="G142" s="44">
        <f>G143+G144</f>
        <v>0</v>
      </c>
      <c r="H142" s="44">
        <f>H143+H144</f>
        <v>0</v>
      </c>
      <c r="I142" s="22">
        <f>I143+I144</f>
        <v>0</v>
      </c>
    </row>
    <row r="143" spans="1:12" ht="27.6" customHeight="1" x14ac:dyDescent="0.25">
      <c r="A143" s="39" t="s">
        <v>154</v>
      </c>
      <c r="B143" s="37" t="s">
        <v>140</v>
      </c>
      <c r="C143" s="38">
        <v>26441</v>
      </c>
      <c r="D143" s="21" t="s">
        <v>25</v>
      </c>
      <c r="E143" s="10" t="s">
        <v>25</v>
      </c>
      <c r="F143" s="22"/>
      <c r="G143" s="22"/>
      <c r="H143" s="22"/>
      <c r="I143" s="22"/>
    </row>
    <row r="144" spans="1:12" ht="19.149999999999999" customHeight="1" x14ac:dyDescent="0.25">
      <c r="A144" s="41" t="s">
        <v>155</v>
      </c>
      <c r="B144" s="37" t="s">
        <v>142</v>
      </c>
      <c r="C144" s="38">
        <v>26442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899999999999999" customHeight="1" x14ac:dyDescent="0.25">
      <c r="A145" s="41" t="s">
        <v>156</v>
      </c>
      <c r="B145" s="37" t="s">
        <v>157</v>
      </c>
      <c r="C145" s="38">
        <v>26450</v>
      </c>
      <c r="D145" s="21" t="s">
        <v>25</v>
      </c>
      <c r="E145" s="10" t="s">
        <v>25</v>
      </c>
      <c r="F145" s="94">
        <f>F146+F148</f>
        <v>192000</v>
      </c>
      <c r="G145" s="94">
        <f>G146+G148</f>
        <v>82665.48</v>
      </c>
      <c r="H145" s="94">
        <f>H146+H148</f>
        <v>82665.48</v>
      </c>
      <c r="I145" s="22">
        <f>I146+I148</f>
        <v>0</v>
      </c>
    </row>
    <row r="146" spans="1:10" ht="26.25" x14ac:dyDescent="0.25">
      <c r="A146" s="41" t="s">
        <v>158</v>
      </c>
      <c r="B146" s="37" t="s">
        <v>140</v>
      </c>
      <c r="C146" s="38">
        <v>26451</v>
      </c>
      <c r="D146" s="21" t="s">
        <v>25</v>
      </c>
      <c r="E146" s="10" t="s">
        <v>25</v>
      </c>
      <c r="F146" s="94">
        <f>10000+10000+50000+60000+62000</f>
        <v>192000</v>
      </c>
      <c r="G146" s="94">
        <f>20665.48+62000</f>
        <v>82665.48</v>
      </c>
      <c r="H146" s="94">
        <f>20665.48+62000</f>
        <v>82665.48</v>
      </c>
      <c r="I146" s="22"/>
    </row>
    <row r="147" spans="1:10" ht="19.149999999999999" customHeight="1" x14ac:dyDescent="0.25">
      <c r="A147" s="41"/>
      <c r="B147" s="37" t="s">
        <v>146</v>
      </c>
      <c r="C147" s="38" t="s">
        <v>159</v>
      </c>
      <c r="D147" s="21" t="s">
        <v>25</v>
      </c>
      <c r="E147" s="10">
        <v>150</v>
      </c>
      <c r="F147" s="49"/>
      <c r="G147" s="22"/>
      <c r="H147" s="22"/>
      <c r="I147" s="22"/>
      <c r="J147" s="53"/>
    </row>
    <row r="148" spans="1:10" ht="19.899999999999999" customHeight="1" x14ac:dyDescent="0.25">
      <c r="A148" s="41" t="s">
        <v>160</v>
      </c>
      <c r="B148" s="37" t="s">
        <v>142</v>
      </c>
      <c r="C148" s="38">
        <v>26452</v>
      </c>
      <c r="D148" s="21" t="s">
        <v>25</v>
      </c>
      <c r="E148" s="10" t="s">
        <v>25</v>
      </c>
      <c r="F148" s="22"/>
      <c r="G148" s="22"/>
      <c r="H148" s="22"/>
      <c r="I148" s="22"/>
    </row>
    <row r="149" spans="1:10" ht="42.6" customHeight="1" x14ac:dyDescent="0.25">
      <c r="A149" s="41" t="s">
        <v>161</v>
      </c>
      <c r="B149" s="37" t="s">
        <v>162</v>
      </c>
      <c r="C149" s="38">
        <v>26500</v>
      </c>
      <c r="D149" s="21" t="s">
        <v>25</v>
      </c>
      <c r="E149" s="10" t="s">
        <v>25</v>
      </c>
      <c r="F149" s="44">
        <f>F151+F152+F153</f>
        <v>12877174.07</v>
      </c>
      <c r="G149" s="44">
        <f>G151+G152+G153</f>
        <v>19203604.689999998</v>
      </c>
      <c r="H149" s="44">
        <f>H151+H152+H153</f>
        <v>18904984.009999998</v>
      </c>
      <c r="I149" s="22">
        <f>I150+I154</f>
        <v>0</v>
      </c>
    </row>
    <row r="150" spans="1:10" ht="15.6" customHeight="1" x14ac:dyDescent="0.25">
      <c r="A150" s="41"/>
      <c r="B150" s="37" t="s">
        <v>163</v>
      </c>
      <c r="C150" s="38">
        <v>26510</v>
      </c>
      <c r="D150" s="21"/>
      <c r="E150" s="10" t="s">
        <v>25</v>
      </c>
      <c r="F150" s="44"/>
      <c r="G150" s="44"/>
      <c r="H150" s="44"/>
      <c r="I150" s="22"/>
    </row>
    <row r="151" spans="1:10" ht="18.600000000000001" customHeight="1" x14ac:dyDescent="0.25">
      <c r="A151" s="41" t="s">
        <v>204</v>
      </c>
      <c r="B151" s="37"/>
      <c r="C151" s="38"/>
      <c r="D151" s="21">
        <v>2021</v>
      </c>
      <c r="E151" s="10"/>
      <c r="F151" s="44">
        <f>F129</f>
        <v>12877174.07</v>
      </c>
      <c r="G151" s="44"/>
      <c r="H151" s="44"/>
      <c r="I151" s="22"/>
    </row>
    <row r="152" spans="1:10" ht="19.899999999999999" customHeight="1" x14ac:dyDescent="0.25">
      <c r="A152" s="41" t="s">
        <v>205</v>
      </c>
      <c r="B152" s="37"/>
      <c r="C152" s="38"/>
      <c r="D152" s="21">
        <v>2022</v>
      </c>
      <c r="E152" s="10"/>
      <c r="F152" s="44"/>
      <c r="G152" s="44">
        <f>G129-G151-G153</f>
        <v>19203604.689999998</v>
      </c>
      <c r="H152" s="44"/>
      <c r="I152" s="22"/>
    </row>
    <row r="153" spans="1:10" ht="18" customHeight="1" x14ac:dyDescent="0.25">
      <c r="A153" s="41" t="s">
        <v>206</v>
      </c>
      <c r="B153" s="37"/>
      <c r="C153" s="38"/>
      <c r="D153" s="21">
        <v>2023</v>
      </c>
      <c r="E153" s="10"/>
      <c r="F153" s="44"/>
      <c r="G153" s="44"/>
      <c r="H153" s="44">
        <f>H129-H152-H151</f>
        <v>18904984.009999998</v>
      </c>
      <c r="I153" s="22"/>
    </row>
    <row r="154" spans="1:10" ht="16.899999999999999" customHeight="1" x14ac:dyDescent="0.25">
      <c r="A154" s="41"/>
      <c r="B154" s="37"/>
      <c r="C154" s="38"/>
      <c r="D154" s="21"/>
      <c r="E154" s="10" t="s">
        <v>25</v>
      </c>
      <c r="F154" s="22"/>
      <c r="G154" s="22"/>
      <c r="H154" s="22"/>
      <c r="I154" s="22"/>
    </row>
    <row r="155" spans="1:10" ht="39" x14ac:dyDescent="0.25">
      <c r="A155" s="41" t="s">
        <v>164</v>
      </c>
      <c r="B155" s="37" t="s">
        <v>165</v>
      </c>
      <c r="C155" s="38">
        <v>26600</v>
      </c>
      <c r="D155" s="21" t="s">
        <v>25</v>
      </c>
      <c r="E155" s="10" t="s">
        <v>25</v>
      </c>
      <c r="F155" s="44">
        <f>F156+F157</f>
        <v>0</v>
      </c>
      <c r="G155" s="44">
        <f>G156+G157</f>
        <v>0</v>
      </c>
      <c r="H155" s="44">
        <f>H156+H157</f>
        <v>0</v>
      </c>
      <c r="I155" s="22">
        <f>I156+I157</f>
        <v>0</v>
      </c>
    </row>
    <row r="156" spans="1:10" x14ac:dyDescent="0.25">
      <c r="A156" s="41"/>
      <c r="B156" s="37" t="s">
        <v>163</v>
      </c>
      <c r="C156" s="38">
        <v>26610</v>
      </c>
      <c r="D156" s="21"/>
      <c r="E156" s="10" t="s">
        <v>25</v>
      </c>
      <c r="F156" s="22"/>
      <c r="G156" s="22"/>
      <c r="H156" s="22"/>
      <c r="I156" s="22"/>
    </row>
    <row r="157" spans="1:10" x14ac:dyDescent="0.25">
      <c r="A157" s="41"/>
      <c r="B157" s="37"/>
      <c r="C157" s="21"/>
      <c r="D157" s="21"/>
      <c r="E157" s="10" t="s">
        <v>25</v>
      </c>
      <c r="F157" s="22"/>
      <c r="G157" s="22"/>
      <c r="H157" s="22"/>
      <c r="I157" s="22"/>
    </row>
    <row r="158" spans="1:10" ht="6.75" customHeight="1" x14ac:dyDescent="0.25">
      <c r="A158" s="33"/>
      <c r="B158" s="32"/>
      <c r="C158" s="34"/>
      <c r="D158" s="34"/>
      <c r="E158" s="34"/>
      <c r="F158" s="34"/>
      <c r="G158" s="34"/>
      <c r="H158" s="34"/>
      <c r="I158" s="32"/>
    </row>
    <row r="159" spans="1:10" x14ac:dyDescent="0.25">
      <c r="A159" s="63"/>
      <c r="B159" s="5"/>
      <c r="C159" s="64"/>
      <c r="D159" s="64"/>
      <c r="E159" s="64"/>
      <c r="F159" s="64"/>
      <c r="G159" s="64"/>
      <c r="H159" s="64"/>
      <c r="I159" s="5"/>
    </row>
    <row r="160" spans="1:10" x14ac:dyDescent="0.25">
      <c r="A160" s="65" t="s">
        <v>227</v>
      </c>
      <c r="D160" s="66"/>
      <c r="E160" s="55"/>
      <c r="F160" s="124" t="s">
        <v>208</v>
      </c>
      <c r="G160" s="124"/>
    </row>
    <row r="161" spans="1:10" x14ac:dyDescent="0.25">
      <c r="B161" s="1"/>
      <c r="C161" s="1"/>
      <c r="D161" s="67" t="s">
        <v>166</v>
      </c>
      <c r="F161" s="125" t="s">
        <v>167</v>
      </c>
      <c r="G161" s="125"/>
    </row>
    <row r="162" spans="1:10" x14ac:dyDescent="0.25">
      <c r="B162" s="1"/>
      <c r="C162" s="1"/>
      <c r="D162" s="1"/>
      <c r="E162" s="1"/>
      <c r="F162" s="1"/>
      <c r="G162" s="68"/>
    </row>
    <row r="163" spans="1:10" x14ac:dyDescent="0.25">
      <c r="A163" s="65"/>
      <c r="D163" s="66"/>
      <c r="E163" s="55"/>
      <c r="F163" s="124" t="s">
        <v>168</v>
      </c>
      <c r="G163" s="124"/>
    </row>
    <row r="164" spans="1:10" ht="13.5" customHeight="1" x14ac:dyDescent="0.25">
      <c r="A164" s="1" t="s">
        <v>169</v>
      </c>
      <c r="B164" s="1"/>
      <c r="C164" s="1"/>
      <c r="D164" s="67" t="s">
        <v>166</v>
      </c>
      <c r="F164" s="125" t="s">
        <v>167</v>
      </c>
      <c r="G164" s="125"/>
    </row>
    <row r="165" spans="1:10" hidden="1" x14ac:dyDescent="0.25">
      <c r="A165" s="65"/>
    </row>
    <row r="166" spans="1:10" ht="1.5" hidden="1" customHeight="1" x14ac:dyDescent="0.3">
      <c r="A166" s="65"/>
      <c r="H166" s="69"/>
      <c r="I166" s="69"/>
      <c r="J166"/>
    </row>
    <row r="167" spans="1:10" ht="17.25" customHeight="1" x14ac:dyDescent="0.3">
      <c r="A167" s="70"/>
      <c r="B167" s="69"/>
      <c r="C167" s="69"/>
      <c r="H167" s="69"/>
      <c r="I167" s="69"/>
      <c r="J167"/>
    </row>
    <row r="168" spans="1:10" ht="18.75" hidden="1" x14ac:dyDescent="0.3">
      <c r="A168" s="70"/>
      <c r="B168" s="69"/>
      <c r="C168" s="69"/>
      <c r="D168" s="69"/>
      <c r="E168" s="69"/>
      <c r="F168" s="71"/>
      <c r="H168" s="69"/>
      <c r="I168" s="69"/>
      <c r="J168"/>
    </row>
    <row r="169" spans="1:10" ht="45.75" customHeight="1" x14ac:dyDescent="0.3">
      <c r="A169" s="72" t="s">
        <v>232</v>
      </c>
      <c r="B169" s="72"/>
      <c r="C169" s="72"/>
      <c r="D169" s="72"/>
      <c r="E169" s="69"/>
      <c r="F169" s="71"/>
      <c r="H169" s="69"/>
      <c r="I169" s="69"/>
      <c r="J169"/>
    </row>
    <row r="170" spans="1:10" ht="15.75" customHeight="1" x14ac:dyDescent="0.3">
      <c r="A170" s="92" t="s">
        <v>170</v>
      </c>
      <c r="B170" s="92"/>
      <c r="C170" s="92"/>
      <c r="D170" s="92"/>
      <c r="E170" s="73"/>
      <c r="H170" s="69"/>
      <c r="I170" s="69"/>
      <c r="J170"/>
    </row>
    <row r="171" spans="1:10" x14ac:dyDescent="0.25">
      <c r="A171" s="92"/>
      <c r="B171" s="92"/>
      <c r="C171" s="92"/>
      <c r="D171" s="92"/>
      <c r="E171" s="92"/>
      <c r="H171" s="5"/>
      <c r="I171" s="5"/>
    </row>
    <row r="172" spans="1:10" x14ac:dyDescent="0.25">
      <c r="C172" s="5"/>
      <c r="D172" s="5"/>
      <c r="E172" s="5"/>
      <c r="H172" s="5"/>
      <c r="I172" s="5"/>
    </row>
    <row r="173" spans="1:10" x14ac:dyDescent="0.25">
      <c r="A173" s="2"/>
      <c r="H173" s="5"/>
      <c r="I173" s="5"/>
    </row>
    <row r="174" spans="1:10" x14ac:dyDescent="0.25"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E186" s="5"/>
    </row>
  </sheetData>
  <mergeCells count="116">
    <mergeCell ref="F160:G160"/>
    <mergeCell ref="F161:G161"/>
    <mergeCell ref="F163:G163"/>
    <mergeCell ref="F164:G164"/>
    <mergeCell ref="A114:B114"/>
    <mergeCell ref="A116:H116"/>
    <mergeCell ref="A118:A120"/>
    <mergeCell ref="B118:B120"/>
    <mergeCell ref="C118:C120"/>
    <mergeCell ref="D118:D120"/>
    <mergeCell ref="E118:E120"/>
    <mergeCell ref="F118:I118"/>
    <mergeCell ref="I119:I120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9:B19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6"/>
  <sheetViews>
    <sheetView zoomScale="85" zoomScaleNormal="85" zoomScaleSheetLayoutView="70" workbookViewId="0">
      <selection activeCell="K31" sqref="K31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233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234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235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9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9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9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9" ht="10.9" customHeight="1" x14ac:dyDescent="0.25">
      <c r="H20" s="57"/>
      <c r="I20" s="62"/>
    </row>
    <row r="21" spans="1:9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9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9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9" s="4" customFormat="1" ht="12.75" customHeight="1" x14ac:dyDescent="0.2">
      <c r="A24" s="149">
        <v>1</v>
      </c>
      <c r="B24" s="149"/>
      <c r="C24" s="89">
        <v>2</v>
      </c>
      <c r="D24" s="89">
        <v>3</v>
      </c>
      <c r="E24" s="89">
        <v>4</v>
      </c>
      <c r="F24" s="11">
        <v>5</v>
      </c>
      <c r="G24" s="11">
        <v>6</v>
      </c>
      <c r="H24" s="11">
        <v>7</v>
      </c>
      <c r="I24" s="89">
        <v>8</v>
      </c>
    </row>
    <row r="25" spans="1:9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378548.25+72228.32+21310+112204.45</f>
        <v>584291.02</v>
      </c>
      <c r="G25" s="13">
        <v>0</v>
      </c>
      <c r="H25" s="13">
        <v>0</v>
      </c>
      <c r="I25" s="13">
        <v>0</v>
      </c>
    </row>
    <row r="26" spans="1:9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F25+F27-F60+F109-F113</f>
        <v>0</v>
      </c>
      <c r="G26" s="43">
        <f>G25+G27-G60-G113</f>
        <v>-7.4505805969238281E-9</v>
      </c>
      <c r="H26" s="43">
        <f>H25+H27-H60-H113</f>
        <v>-7.4505805969238281E-9</v>
      </c>
      <c r="I26" s="43">
        <v>0</v>
      </c>
    </row>
    <row r="27" spans="1:9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F28+F29+F33+F34+F55+F57+F58</f>
        <v>56560837.289999999</v>
      </c>
      <c r="G27" s="42">
        <f>G28+G29+G33+G34+G55+G57+G58</f>
        <v>58498779.229999989</v>
      </c>
      <c r="H27" s="42">
        <f>H28+H29+H33+H34+H55+H57+H58</f>
        <v>58200158.54999999</v>
      </c>
      <c r="I27" s="42">
        <f>I28+I29+I33+I34+I55+I57+I58</f>
        <v>0</v>
      </c>
    </row>
    <row r="28" spans="1:9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9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F30+F32+F56</f>
        <v>42569972.039999999</v>
      </c>
      <c r="G29" s="42">
        <f>G30+G32+G56+G57</f>
        <v>42257280.909999996</v>
      </c>
      <c r="H29" s="42">
        <f>H30+H32+H56+H57</f>
        <v>42234767.389999993</v>
      </c>
      <c r="I29" s="42">
        <f>SUM(I30:I32)</f>
        <v>0</v>
      </c>
    </row>
    <row r="30" spans="1:9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7057300.92+36051226.05-1000000+454080-170215</f>
        <v>42392391.969999999</v>
      </c>
      <c r="G30" s="52">
        <f>42353595.91-106100-170215</f>
        <v>42077280.909999996</v>
      </c>
      <c r="H30" s="52">
        <f>42353595.91-128613.52-170215</f>
        <v>42054767.389999993</v>
      </c>
      <c r="I30" s="13"/>
    </row>
    <row r="31" spans="1:9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</row>
    <row r="32" spans="1:9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f>189580.07-12000</f>
        <v>177580.07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F35+F53+F54</f>
        <v>13978865.25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86">
        <f>SUM(F37:F52)</f>
        <v>13978865.25</v>
      </c>
      <c r="G35" s="86">
        <f>SUM(G37:G55)</f>
        <v>16230832.84</v>
      </c>
      <c r="H35" s="86">
        <f>SUM(H37:H52)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236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173</v>
      </c>
      <c r="B38" s="149"/>
      <c r="C38" s="19"/>
      <c r="D38" s="12"/>
      <c r="E38" s="11"/>
      <c r="F38" s="20">
        <f>52050-52050</f>
        <v>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174</v>
      </c>
      <c r="B40" s="149"/>
      <c r="C40" s="12"/>
      <c r="D40" s="12"/>
      <c r="E40" s="11"/>
      <c r="F40" s="84">
        <v>100000</v>
      </c>
      <c r="G40" s="84"/>
      <c r="H40" s="84"/>
      <c r="I40" s="13"/>
    </row>
    <row r="41" spans="1:9" s="46" customFormat="1" ht="33" customHeight="1" x14ac:dyDescent="0.2">
      <c r="A41" s="150" t="s">
        <v>237</v>
      </c>
      <c r="B41" s="151"/>
      <c r="C41" s="12"/>
      <c r="D41" s="12"/>
      <c r="E41" s="11"/>
      <c r="F41" s="84">
        <v>20500</v>
      </c>
      <c r="G41" s="84"/>
      <c r="H41" s="84"/>
      <c r="I41" s="13"/>
    </row>
    <row r="42" spans="1:9" s="46" customFormat="1" ht="54.75" customHeight="1" x14ac:dyDescent="0.2">
      <c r="A42" s="150" t="s">
        <v>238</v>
      </c>
      <c r="B42" s="151"/>
      <c r="C42" s="12"/>
      <c r="D42" s="12"/>
      <c r="E42" s="11"/>
      <c r="F42" s="84">
        <v>170000</v>
      </c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84">
        <v>45350</v>
      </c>
      <c r="G43" s="84">
        <v>45350</v>
      </c>
      <c r="H43" s="84">
        <v>45350</v>
      </c>
      <c r="I43" s="13"/>
    </row>
    <row r="44" spans="1:9" s="46" customFormat="1" ht="43.15" customHeight="1" x14ac:dyDescent="0.2">
      <c r="A44" s="149" t="s">
        <v>176</v>
      </c>
      <c r="B44" s="149"/>
      <c r="C44" s="12"/>
      <c r="D44" s="12"/>
      <c r="E44" s="11"/>
      <c r="F44" s="84">
        <v>22330.32</v>
      </c>
      <c r="G44" s="84">
        <v>25100</v>
      </c>
      <c r="H44" s="84">
        <v>22330.32</v>
      </c>
      <c r="I44" s="13"/>
    </row>
    <row r="45" spans="1:9" s="46" customFormat="1" ht="84" customHeight="1" x14ac:dyDescent="0.2">
      <c r="A45" s="147" t="s">
        <v>177</v>
      </c>
      <c r="B45" s="148"/>
      <c r="C45" s="12"/>
      <c r="D45" s="12"/>
      <c r="E45" s="11"/>
      <c r="F45" s="84">
        <v>8036</v>
      </c>
      <c r="G45" s="84">
        <v>11600</v>
      </c>
      <c r="H45" s="84">
        <v>8036</v>
      </c>
      <c r="I45" s="13"/>
    </row>
    <row r="46" spans="1:9" s="46" customFormat="1" ht="60.75" customHeight="1" x14ac:dyDescent="0.2">
      <c r="A46" s="149" t="s">
        <v>178</v>
      </c>
      <c r="B46" s="149"/>
      <c r="C46" s="12"/>
      <c r="D46" s="12"/>
      <c r="E46" s="11"/>
      <c r="F46" s="84">
        <v>236850</v>
      </c>
      <c r="G46" s="84">
        <v>236850</v>
      </c>
      <c r="H46" s="84">
        <v>236850</v>
      </c>
      <c r="I46" s="13"/>
    </row>
    <row r="47" spans="1:9" s="46" customFormat="1" ht="45" customHeight="1" x14ac:dyDescent="0.2">
      <c r="A47" s="149" t="s">
        <v>192</v>
      </c>
      <c r="B47" s="149"/>
      <c r="C47" s="12"/>
      <c r="D47" s="47"/>
      <c r="E47" s="11"/>
      <c r="F47" s="84">
        <v>1957200</v>
      </c>
      <c r="G47" s="84">
        <v>1957200</v>
      </c>
      <c r="H47" s="84">
        <v>1957200</v>
      </c>
      <c r="I47" s="13"/>
    </row>
    <row r="48" spans="1:9" s="46" customFormat="1" ht="45" customHeight="1" x14ac:dyDescent="0.2">
      <c r="A48" s="150" t="s">
        <v>231</v>
      </c>
      <c r="B48" s="151"/>
      <c r="C48" s="12"/>
      <c r="D48" s="47"/>
      <c r="E48" s="11"/>
      <c r="F48" s="84">
        <v>44100</v>
      </c>
      <c r="G48" s="84"/>
      <c r="H48" s="84"/>
      <c r="I48" s="13"/>
    </row>
    <row r="49" spans="1:11" s="46" customFormat="1" ht="55.9" customHeight="1" x14ac:dyDescent="0.2">
      <c r="A49" s="152" t="s">
        <v>201</v>
      </c>
      <c r="B49" s="153"/>
      <c r="C49" s="79"/>
      <c r="D49" s="80"/>
      <c r="E49" s="81"/>
      <c r="F49" s="85">
        <v>4520564.6500000004</v>
      </c>
      <c r="G49" s="84">
        <v>6686413.75</v>
      </c>
      <c r="H49" s="84">
        <v>6482395.7000000002</v>
      </c>
      <c r="I49" s="13"/>
    </row>
    <row r="50" spans="1:11" s="46" customFormat="1" ht="54.6" customHeight="1" x14ac:dyDescent="0.2">
      <c r="A50" s="152" t="s">
        <v>202</v>
      </c>
      <c r="B50" s="153"/>
      <c r="C50" s="79"/>
      <c r="D50" s="80"/>
      <c r="E50" s="81"/>
      <c r="F50" s="85">
        <v>1427543.13</v>
      </c>
      <c r="G50" s="84">
        <v>1860220</v>
      </c>
      <c r="H50" s="84">
        <v>1802579.38</v>
      </c>
      <c r="I50" s="13"/>
    </row>
    <row r="51" spans="1:11" s="46" customFormat="1" ht="55.9" customHeight="1" x14ac:dyDescent="0.2">
      <c r="A51" s="152" t="s">
        <v>203</v>
      </c>
      <c r="B51" s="153"/>
      <c r="C51" s="79"/>
      <c r="D51" s="80"/>
      <c r="E51" s="81"/>
      <c r="F51" s="85">
        <v>183962.21</v>
      </c>
      <c r="G51" s="84">
        <v>264539.09000000003</v>
      </c>
      <c r="H51" s="84">
        <v>256424.28</v>
      </c>
      <c r="I51" s="13"/>
    </row>
    <row r="52" spans="1:11" s="46" customFormat="1" ht="82.9" customHeight="1" x14ac:dyDescent="0.2">
      <c r="A52" s="154" t="s">
        <v>223</v>
      </c>
      <c r="B52" s="155"/>
      <c r="C52" s="79"/>
      <c r="D52" s="80"/>
      <c r="E52" s="81"/>
      <c r="F52" s="85">
        <v>3593560</v>
      </c>
      <c r="G52" s="84">
        <v>3593560</v>
      </c>
      <c r="H52" s="84">
        <v>3593560</v>
      </c>
      <c r="I52" s="13"/>
    </row>
    <row r="53" spans="1:11" s="46" customFormat="1" ht="15" customHeight="1" x14ac:dyDescent="0.2">
      <c r="A53" s="149" t="s">
        <v>180</v>
      </c>
      <c r="B53" s="149"/>
      <c r="C53" s="12" t="s">
        <v>51</v>
      </c>
      <c r="D53" s="12" t="s">
        <v>47</v>
      </c>
      <c r="E53" s="11"/>
      <c r="F53" s="13"/>
      <c r="G53" s="13"/>
      <c r="H53" s="13"/>
      <c r="I53" s="13"/>
    </row>
    <row r="54" spans="1:11" s="46" customFormat="1" ht="26.25" customHeight="1" x14ac:dyDescent="0.2">
      <c r="A54" s="147" t="s">
        <v>179</v>
      </c>
      <c r="B54" s="148"/>
      <c r="C54" s="12" t="s">
        <v>52</v>
      </c>
      <c r="D54" s="12" t="s">
        <v>47</v>
      </c>
      <c r="E54" s="11"/>
      <c r="F54" s="13"/>
      <c r="G54" s="13"/>
      <c r="H54" s="13"/>
      <c r="I54" s="13"/>
    </row>
    <row r="55" spans="1:11" s="46" customFormat="1" ht="15" customHeight="1" x14ac:dyDescent="0.2">
      <c r="A55" s="149" t="s">
        <v>53</v>
      </c>
      <c r="B55" s="149"/>
      <c r="C55" s="12" t="s">
        <v>54</v>
      </c>
      <c r="D55" s="12" t="s">
        <v>55</v>
      </c>
      <c r="E55" s="11"/>
      <c r="F55" s="13"/>
      <c r="G55" s="13"/>
      <c r="H55" s="13"/>
      <c r="I55" s="13"/>
    </row>
    <row r="56" spans="1:11" s="4" customFormat="1" ht="15" customHeight="1" x14ac:dyDescent="0.2">
      <c r="A56" s="149" t="s">
        <v>56</v>
      </c>
      <c r="B56" s="149"/>
      <c r="C56" s="12" t="s">
        <v>57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58</v>
      </c>
      <c r="B57" s="149"/>
      <c r="C57" s="12" t="s">
        <v>59</v>
      </c>
      <c r="D57" s="12" t="s">
        <v>60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61</v>
      </c>
      <c r="B58" s="149"/>
      <c r="C58" s="12" t="s">
        <v>62</v>
      </c>
      <c r="D58" s="12" t="s">
        <v>25</v>
      </c>
      <c r="E58" s="11"/>
      <c r="F58" s="13"/>
      <c r="G58" s="13"/>
      <c r="H58" s="13"/>
      <c r="I58" s="13"/>
    </row>
    <row r="59" spans="1:11" s="4" customFormat="1" ht="38.450000000000003" customHeight="1" x14ac:dyDescent="0.2">
      <c r="A59" s="149" t="s">
        <v>63</v>
      </c>
      <c r="B59" s="149"/>
      <c r="C59" s="12" t="s">
        <v>64</v>
      </c>
      <c r="D59" s="12" t="s">
        <v>65</v>
      </c>
      <c r="E59" s="11"/>
      <c r="F59" s="13"/>
      <c r="G59" s="13"/>
      <c r="H59" s="13"/>
      <c r="I59" s="13" t="s">
        <v>25</v>
      </c>
    </row>
    <row r="60" spans="1:11" s="4" customFormat="1" ht="15" customHeight="1" x14ac:dyDescent="0.2">
      <c r="A60" s="146" t="s">
        <v>66</v>
      </c>
      <c r="B60" s="146"/>
      <c r="C60" s="15" t="s">
        <v>67</v>
      </c>
      <c r="D60" s="15" t="s">
        <v>25</v>
      </c>
      <c r="E60" s="16">
        <v>200</v>
      </c>
      <c r="F60" s="42">
        <f>F61+F71+F78+F82+F89+F91</f>
        <v>56673041.740000002</v>
      </c>
      <c r="G60" s="42">
        <f>G61+G71+G78+G82+G89+G91</f>
        <v>58498779.229999997</v>
      </c>
      <c r="H60" s="42">
        <f>H61+H71+H78+H82+H89+H91</f>
        <v>58200158.549999997</v>
      </c>
      <c r="I60" s="17"/>
    </row>
    <row r="61" spans="1:11" s="4" customFormat="1" ht="27" customHeight="1" x14ac:dyDescent="0.2">
      <c r="A61" s="126" t="s">
        <v>68</v>
      </c>
      <c r="B61" s="126"/>
      <c r="C61" s="21">
        <v>2100</v>
      </c>
      <c r="D61" s="15" t="s">
        <v>25</v>
      </c>
      <c r="E61" s="21"/>
      <c r="F61" s="44">
        <f>F62+F63+F64+F65+F66+F67+F69</f>
        <v>39194949.539999999</v>
      </c>
      <c r="G61" s="44">
        <f>G62+G63+G64+G65+G66+G67+G69</f>
        <v>39194949.539999999</v>
      </c>
      <c r="H61" s="44">
        <f>H62+H63+H64+H65+H66+H67+H69</f>
        <v>39194949.539999999</v>
      </c>
      <c r="I61" s="22" t="s">
        <v>25</v>
      </c>
    </row>
    <row r="62" spans="1:11" s="4" customFormat="1" ht="25.5" customHeight="1" x14ac:dyDescent="0.2">
      <c r="A62" s="126" t="s">
        <v>69</v>
      </c>
      <c r="B62" s="126"/>
      <c r="C62" s="21">
        <v>2110</v>
      </c>
      <c r="D62" s="21">
        <v>111</v>
      </c>
      <c r="E62" s="21"/>
      <c r="F62" s="22">
        <f>27221908.24+90000+82949.31+76804.92+2760030.72-130733.49</f>
        <v>30100959.699999999</v>
      </c>
      <c r="G62" s="22">
        <f>82949.31+27221908.24+90000+76804.92+2760030.72-130733.49</f>
        <v>30100959.699999999</v>
      </c>
      <c r="H62" s="22">
        <f>82949.31+27221908.24+90000+76804.92+2760030.72-130733.49</f>
        <v>30100959.699999999</v>
      </c>
      <c r="I62" s="22" t="s">
        <v>25</v>
      </c>
      <c r="K62" s="90"/>
    </row>
    <row r="63" spans="1:11" s="4" customFormat="1" ht="15" customHeight="1" x14ac:dyDescent="0.2">
      <c r="A63" s="126" t="s">
        <v>70</v>
      </c>
      <c r="B63" s="126"/>
      <c r="C63" s="21">
        <v>2120</v>
      </c>
      <c r="D63" s="21">
        <v>112</v>
      </c>
      <c r="E63" s="21"/>
      <c r="F63" s="22">
        <v>3500</v>
      </c>
      <c r="G63" s="22">
        <v>3500</v>
      </c>
      <c r="H63" s="22">
        <v>3500</v>
      </c>
      <c r="I63" s="22" t="s">
        <v>25</v>
      </c>
      <c r="K63" s="90"/>
    </row>
    <row r="64" spans="1:11" s="4" customFormat="1" ht="28.5" customHeight="1" x14ac:dyDescent="0.2">
      <c r="A64" s="126" t="s">
        <v>71</v>
      </c>
      <c r="B64" s="126"/>
      <c r="C64" s="21">
        <v>2130</v>
      </c>
      <c r="D64" s="21">
        <v>113</v>
      </c>
      <c r="E64" s="21"/>
      <c r="F64" s="22"/>
      <c r="G64" s="22"/>
      <c r="H64" s="22"/>
      <c r="I64" s="22" t="s">
        <v>25</v>
      </c>
      <c r="K64" s="90"/>
    </row>
    <row r="65" spans="1:9" s="4" customFormat="1" ht="28.9" customHeight="1" x14ac:dyDescent="0.2">
      <c r="A65" s="126" t="s">
        <v>72</v>
      </c>
      <c r="B65" s="126"/>
      <c r="C65" s="21">
        <v>2140</v>
      </c>
      <c r="D65" s="21">
        <v>119</v>
      </c>
      <c r="E65" s="21"/>
      <c r="F65" s="22">
        <f>8248196.3+25050.69+23195.08+833529.28-39481.51</f>
        <v>9090489.8399999999</v>
      </c>
      <c r="G65" s="22">
        <f>25050.69+8248196.3+23195.08+833529.28-39481.51</f>
        <v>9090489.8399999999</v>
      </c>
      <c r="H65" s="22">
        <f>25050.69+8248196.3+23195.08+833529.28-39481.51</f>
        <v>9090489.8399999999</v>
      </c>
      <c r="I65" s="22" t="s">
        <v>25</v>
      </c>
    </row>
    <row r="66" spans="1:9" s="4" customFormat="1" ht="16.899999999999999" customHeight="1" x14ac:dyDescent="0.2">
      <c r="A66" s="126" t="s">
        <v>73</v>
      </c>
      <c r="B66" s="126"/>
      <c r="C66" s="21">
        <v>2150</v>
      </c>
      <c r="D66" s="21">
        <v>131</v>
      </c>
      <c r="E66" s="21"/>
      <c r="F66" s="22"/>
      <c r="G66" s="22"/>
      <c r="H66" s="22"/>
      <c r="I66" s="22" t="s">
        <v>25</v>
      </c>
    </row>
    <row r="67" spans="1:9" s="4" customFormat="1" ht="27" customHeight="1" x14ac:dyDescent="0.2">
      <c r="A67" s="126" t="s">
        <v>74</v>
      </c>
      <c r="B67" s="126"/>
      <c r="C67" s="21">
        <v>2160</v>
      </c>
      <c r="D67" s="21">
        <v>133</v>
      </c>
      <c r="E67" s="21"/>
      <c r="F67" s="22"/>
      <c r="G67" s="22"/>
      <c r="H67" s="22"/>
      <c r="I67" s="22" t="s">
        <v>25</v>
      </c>
    </row>
    <row r="68" spans="1:9" s="4" customFormat="1" ht="15.75" customHeight="1" x14ac:dyDescent="0.2">
      <c r="A68" s="126" t="s">
        <v>75</v>
      </c>
      <c r="B68" s="126"/>
      <c r="C68" s="21">
        <v>2170</v>
      </c>
      <c r="D68" s="21">
        <v>134</v>
      </c>
      <c r="E68" s="21"/>
      <c r="F68" s="22"/>
      <c r="G68" s="22"/>
      <c r="H68" s="22"/>
      <c r="I68" s="22"/>
    </row>
    <row r="69" spans="1:9" s="4" customFormat="1" ht="30.75" customHeight="1" x14ac:dyDescent="0.2">
      <c r="A69" s="126" t="s">
        <v>76</v>
      </c>
      <c r="B69" s="126"/>
      <c r="C69" s="21">
        <v>2180</v>
      </c>
      <c r="D69" s="21">
        <v>139</v>
      </c>
      <c r="E69" s="21"/>
      <c r="F69" s="44">
        <f>F70</f>
        <v>0</v>
      </c>
      <c r="G69" s="44">
        <f>G70</f>
        <v>0</v>
      </c>
      <c r="H69" s="44">
        <f>H70</f>
        <v>0</v>
      </c>
      <c r="I69" s="22" t="s">
        <v>25</v>
      </c>
    </row>
    <row r="70" spans="1:9" s="4" customFormat="1" ht="25.5" customHeight="1" x14ac:dyDescent="0.2">
      <c r="A70" s="126" t="s">
        <v>77</v>
      </c>
      <c r="B70" s="126"/>
      <c r="C70" s="21">
        <v>2181</v>
      </c>
      <c r="D70" s="21">
        <v>139</v>
      </c>
      <c r="E70" s="21"/>
      <c r="F70" s="22"/>
      <c r="G70" s="22"/>
      <c r="H70" s="22"/>
      <c r="I70" s="22" t="s">
        <v>25</v>
      </c>
    </row>
    <row r="71" spans="1:9" s="76" customFormat="1" ht="15" customHeight="1" x14ac:dyDescent="0.2">
      <c r="A71" s="141" t="s">
        <v>78</v>
      </c>
      <c r="B71" s="141"/>
      <c r="C71" s="25">
        <v>2200</v>
      </c>
      <c r="D71" s="25">
        <v>300</v>
      </c>
      <c r="E71" s="25"/>
      <c r="F71" s="45">
        <f>F72+F75+F76+F77</f>
        <v>0</v>
      </c>
      <c r="G71" s="45">
        <f>G72+G75+G76+G77</f>
        <v>0</v>
      </c>
      <c r="H71" s="45">
        <f>H72+H75+H76+H77</f>
        <v>0</v>
      </c>
      <c r="I71" s="26" t="s">
        <v>25</v>
      </c>
    </row>
    <row r="72" spans="1:9" s="4" customFormat="1" ht="24.6" customHeight="1" x14ac:dyDescent="0.2">
      <c r="A72" s="126" t="s">
        <v>79</v>
      </c>
      <c r="B72" s="126"/>
      <c r="C72" s="21">
        <v>2210</v>
      </c>
      <c r="D72" s="21">
        <v>320</v>
      </c>
      <c r="E72" s="21"/>
      <c r="F72" s="44">
        <f>SUM(F73:F74)</f>
        <v>0</v>
      </c>
      <c r="G72" s="44">
        <f>SUM(G73:G73)</f>
        <v>0</v>
      </c>
      <c r="H72" s="44">
        <f>SUM(H73:H73)</f>
        <v>0</v>
      </c>
      <c r="I72" s="22" t="s">
        <v>25</v>
      </c>
    </row>
    <row r="73" spans="1:9" s="4" customFormat="1" ht="36.6" customHeight="1" x14ac:dyDescent="0.2">
      <c r="A73" s="126" t="s">
        <v>80</v>
      </c>
      <c r="B73" s="126"/>
      <c r="C73" s="21">
        <v>2211</v>
      </c>
      <c r="D73" s="21">
        <v>321</v>
      </c>
      <c r="E73" s="21"/>
      <c r="F73" s="22"/>
      <c r="G73" s="22"/>
      <c r="H73" s="22"/>
      <c r="I73" s="22" t="s">
        <v>25</v>
      </c>
    </row>
    <row r="74" spans="1:9" s="4" customFormat="1" ht="15.6" customHeight="1" x14ac:dyDescent="0.2">
      <c r="A74" s="139" t="s">
        <v>181</v>
      </c>
      <c r="B74" s="140"/>
      <c r="C74" s="21">
        <v>2212</v>
      </c>
      <c r="D74" s="21">
        <v>321</v>
      </c>
      <c r="E74" s="21"/>
      <c r="F74" s="22"/>
      <c r="G74" s="22"/>
      <c r="H74" s="22"/>
      <c r="I74" s="22" t="s">
        <v>25</v>
      </c>
    </row>
    <row r="75" spans="1:9" s="4" customFormat="1" ht="25.9" customHeight="1" x14ac:dyDescent="0.2">
      <c r="A75" s="126" t="s">
        <v>81</v>
      </c>
      <c r="B75" s="126"/>
      <c r="C75" s="21">
        <v>2220</v>
      </c>
      <c r="D75" s="21">
        <v>340</v>
      </c>
      <c r="E75" s="21"/>
      <c r="F75" s="22"/>
      <c r="G75" s="22"/>
      <c r="H75" s="22"/>
      <c r="I75" s="22" t="s">
        <v>25</v>
      </c>
    </row>
    <row r="76" spans="1:9" s="4" customFormat="1" ht="39" customHeight="1" x14ac:dyDescent="0.2">
      <c r="A76" s="126" t="s">
        <v>82</v>
      </c>
      <c r="B76" s="126"/>
      <c r="C76" s="21">
        <v>2230</v>
      </c>
      <c r="D76" s="21">
        <v>350</v>
      </c>
      <c r="E76" s="21"/>
      <c r="F76" s="22"/>
      <c r="G76" s="22"/>
      <c r="H76" s="22"/>
      <c r="I76" s="22" t="s">
        <v>25</v>
      </c>
    </row>
    <row r="77" spans="1:9" s="4" customFormat="1" ht="16.149999999999999" customHeight="1" x14ac:dyDescent="0.2">
      <c r="A77" s="126" t="s">
        <v>83</v>
      </c>
      <c r="B77" s="126"/>
      <c r="C77" s="21">
        <v>2240</v>
      </c>
      <c r="D77" s="21">
        <v>360</v>
      </c>
      <c r="E77" s="21"/>
      <c r="F77" s="22"/>
      <c r="G77" s="22"/>
      <c r="H77" s="22"/>
      <c r="I77" s="22" t="s">
        <v>25</v>
      </c>
    </row>
    <row r="78" spans="1:9" s="76" customFormat="1" ht="15" customHeight="1" x14ac:dyDescent="0.2">
      <c r="A78" s="141" t="s">
        <v>84</v>
      </c>
      <c r="B78" s="141"/>
      <c r="C78" s="25">
        <v>2300</v>
      </c>
      <c r="D78" s="25">
        <v>850</v>
      </c>
      <c r="E78" s="25"/>
      <c r="F78" s="45">
        <f>SUM(F79:F81)</f>
        <v>102009.52</v>
      </c>
      <c r="G78" s="45">
        <f>SUM(G79:G81)</f>
        <v>100225</v>
      </c>
      <c r="H78" s="45">
        <f>SUM(H79:H81)</f>
        <v>100225</v>
      </c>
      <c r="I78" s="26" t="s">
        <v>25</v>
      </c>
    </row>
    <row r="79" spans="1:9" s="4" customFormat="1" ht="24" customHeight="1" x14ac:dyDescent="0.2">
      <c r="A79" s="126" t="s">
        <v>85</v>
      </c>
      <c r="B79" s="126"/>
      <c r="C79" s="21">
        <v>2310</v>
      </c>
      <c r="D79" s="21">
        <v>851</v>
      </c>
      <c r="E79" s="21"/>
      <c r="F79" s="22">
        <v>87400</v>
      </c>
      <c r="G79" s="22">
        <v>87400</v>
      </c>
      <c r="H79" s="22">
        <v>87400</v>
      </c>
      <c r="I79" s="22" t="s">
        <v>25</v>
      </c>
    </row>
    <row r="80" spans="1:9" s="4" customFormat="1" ht="30" customHeight="1" x14ac:dyDescent="0.2">
      <c r="A80" s="126" t="s">
        <v>86</v>
      </c>
      <c r="B80" s="126"/>
      <c r="C80" s="21">
        <v>2320</v>
      </c>
      <c r="D80" s="21">
        <v>852</v>
      </c>
      <c r="E80" s="21"/>
      <c r="F80" s="22">
        <v>0</v>
      </c>
      <c r="G80" s="22"/>
      <c r="H80" s="22"/>
      <c r="I80" s="22" t="s">
        <v>25</v>
      </c>
    </row>
    <row r="81" spans="1:9" s="4" customFormat="1" ht="13.5" customHeight="1" x14ac:dyDescent="0.2">
      <c r="A81" s="126" t="s">
        <v>87</v>
      </c>
      <c r="B81" s="126"/>
      <c r="C81" s="21">
        <v>2330</v>
      </c>
      <c r="D81" s="21">
        <v>853</v>
      </c>
      <c r="E81" s="21"/>
      <c r="F81" s="22">
        <v>14609.52</v>
      </c>
      <c r="G81" s="22">
        <v>12825</v>
      </c>
      <c r="H81" s="22">
        <v>12825</v>
      </c>
      <c r="I81" s="22" t="s">
        <v>25</v>
      </c>
    </row>
    <row r="82" spans="1:9" s="4" customFormat="1" ht="13.5" customHeight="1" x14ac:dyDescent="0.2">
      <c r="A82" s="126" t="s">
        <v>88</v>
      </c>
      <c r="B82" s="126"/>
      <c r="C82" s="21">
        <v>2400</v>
      </c>
      <c r="D82" s="21" t="s">
        <v>25</v>
      </c>
      <c r="E82" s="21"/>
      <c r="F82" s="44">
        <f>SUM(F83:F85)</f>
        <v>0</v>
      </c>
      <c r="G82" s="44">
        <f>SUM(G83:G85)</f>
        <v>0</v>
      </c>
      <c r="H82" s="44">
        <f>SUM(H83:H85)</f>
        <v>0</v>
      </c>
      <c r="I82" s="22" t="s">
        <v>25</v>
      </c>
    </row>
    <row r="83" spans="1:9" s="4" customFormat="1" ht="21.6" customHeight="1" x14ac:dyDescent="0.2">
      <c r="A83" s="126" t="s">
        <v>89</v>
      </c>
      <c r="B83" s="126"/>
      <c r="C83" s="21">
        <v>2410</v>
      </c>
      <c r="D83" s="21">
        <v>613</v>
      </c>
      <c r="E83" s="21"/>
      <c r="F83" s="22"/>
      <c r="G83" s="22"/>
      <c r="H83" s="22"/>
      <c r="I83" s="22" t="s">
        <v>25</v>
      </c>
    </row>
    <row r="84" spans="1:9" s="4" customFormat="1" ht="15" customHeight="1" x14ac:dyDescent="0.2">
      <c r="A84" s="126" t="s">
        <v>90</v>
      </c>
      <c r="B84" s="126"/>
      <c r="C84" s="21">
        <v>2420</v>
      </c>
      <c r="D84" s="21">
        <v>623</v>
      </c>
      <c r="E84" s="21"/>
      <c r="F84" s="22"/>
      <c r="G84" s="22"/>
      <c r="H84" s="22"/>
      <c r="I84" s="22" t="s">
        <v>25</v>
      </c>
    </row>
    <row r="85" spans="1:9" s="4" customFormat="1" ht="30" customHeight="1" x14ac:dyDescent="0.2">
      <c r="A85" s="126" t="s">
        <v>91</v>
      </c>
      <c r="B85" s="126"/>
      <c r="C85" s="21">
        <v>2430</v>
      </c>
      <c r="D85" s="21">
        <v>634</v>
      </c>
      <c r="E85" s="21"/>
      <c r="F85" s="22"/>
      <c r="G85" s="22"/>
      <c r="H85" s="22"/>
      <c r="I85" s="22" t="s">
        <v>25</v>
      </c>
    </row>
    <row r="86" spans="1:9" s="4" customFormat="1" ht="16.899999999999999" customHeight="1" x14ac:dyDescent="0.2">
      <c r="A86" s="139" t="s">
        <v>92</v>
      </c>
      <c r="B86" s="140"/>
      <c r="C86" s="21">
        <v>2440</v>
      </c>
      <c r="D86" s="21">
        <v>810</v>
      </c>
      <c r="E86" s="21"/>
      <c r="F86" s="22"/>
      <c r="G86" s="22"/>
      <c r="H86" s="22"/>
      <c r="I86" s="22"/>
    </row>
    <row r="87" spans="1:9" s="4" customFormat="1" ht="16.899999999999999" customHeight="1" x14ac:dyDescent="0.2">
      <c r="A87" s="139" t="s">
        <v>93</v>
      </c>
      <c r="B87" s="140"/>
      <c r="C87" s="21">
        <v>2450</v>
      </c>
      <c r="D87" s="21">
        <v>862</v>
      </c>
      <c r="E87" s="21"/>
      <c r="F87" s="22"/>
      <c r="G87" s="22"/>
      <c r="H87" s="22"/>
      <c r="I87" s="22"/>
    </row>
    <row r="88" spans="1:9" s="4" customFormat="1" ht="30.75" customHeight="1" x14ac:dyDescent="0.2">
      <c r="A88" s="139" t="s">
        <v>94</v>
      </c>
      <c r="B88" s="140"/>
      <c r="C88" s="21">
        <v>2460</v>
      </c>
      <c r="D88" s="21">
        <v>863</v>
      </c>
      <c r="E88" s="21"/>
      <c r="F88" s="22"/>
      <c r="G88" s="22"/>
      <c r="H88" s="22"/>
      <c r="I88" s="22"/>
    </row>
    <row r="89" spans="1:9" s="4" customFormat="1" ht="15" customHeight="1" x14ac:dyDescent="0.2">
      <c r="A89" s="126" t="s">
        <v>95</v>
      </c>
      <c r="B89" s="126"/>
      <c r="C89" s="21">
        <v>2500</v>
      </c>
      <c r="D89" s="21" t="s">
        <v>25</v>
      </c>
      <c r="E89" s="21"/>
      <c r="F89" s="44">
        <f>F90</f>
        <v>0</v>
      </c>
      <c r="G89" s="44">
        <f>G90</f>
        <v>0</v>
      </c>
      <c r="H89" s="44">
        <f>H90</f>
        <v>0</v>
      </c>
      <c r="I89" s="22" t="s">
        <v>25</v>
      </c>
    </row>
    <row r="90" spans="1:9" s="4" customFormat="1" ht="31.5" customHeight="1" x14ac:dyDescent="0.2">
      <c r="A90" s="126" t="s">
        <v>96</v>
      </c>
      <c r="B90" s="126"/>
      <c r="C90" s="21">
        <v>2520</v>
      </c>
      <c r="D90" s="21">
        <v>831</v>
      </c>
      <c r="E90" s="21"/>
      <c r="F90" s="22"/>
      <c r="G90" s="22"/>
      <c r="H90" s="22"/>
      <c r="I90" s="22" t="s">
        <v>25</v>
      </c>
    </row>
    <row r="91" spans="1:9" s="76" customFormat="1" ht="15" customHeight="1" x14ac:dyDescent="0.2">
      <c r="A91" s="141" t="s">
        <v>97</v>
      </c>
      <c r="B91" s="141"/>
      <c r="C91" s="25">
        <v>2600</v>
      </c>
      <c r="D91" s="25" t="s">
        <v>25</v>
      </c>
      <c r="E91" s="25"/>
      <c r="F91" s="45">
        <f>F92+F93+F94+F106+F103</f>
        <v>17376082.68</v>
      </c>
      <c r="G91" s="45">
        <f>G92+G93+G94+G106+G103</f>
        <v>19203604.689999998</v>
      </c>
      <c r="H91" s="45">
        <f>H92+H93+H94+H106+H103</f>
        <v>18904984.009999998</v>
      </c>
      <c r="I91" s="26"/>
    </row>
    <row r="92" spans="1:9" s="4" customFormat="1" ht="30" customHeight="1" x14ac:dyDescent="0.2">
      <c r="A92" s="126" t="s">
        <v>98</v>
      </c>
      <c r="B92" s="126"/>
      <c r="C92" s="21">
        <v>2610</v>
      </c>
      <c r="D92" s="21">
        <v>241</v>
      </c>
      <c r="E92" s="21"/>
      <c r="F92" s="22"/>
      <c r="G92" s="22"/>
      <c r="H92" s="22"/>
      <c r="I92" s="22"/>
    </row>
    <row r="93" spans="1:9" s="4" customFormat="1" ht="27.75" customHeight="1" x14ac:dyDescent="0.2">
      <c r="A93" s="126" t="s">
        <v>99</v>
      </c>
      <c r="B93" s="126"/>
      <c r="C93" s="21">
        <v>2630</v>
      </c>
      <c r="D93" s="21">
        <v>243</v>
      </c>
      <c r="E93" s="21"/>
      <c r="F93" s="22"/>
      <c r="G93" s="22"/>
      <c r="H93" s="22"/>
      <c r="I93" s="22"/>
    </row>
    <row r="94" spans="1:9" s="76" customFormat="1" ht="15" customHeight="1" x14ac:dyDescent="0.2">
      <c r="A94" s="141" t="s">
        <v>100</v>
      </c>
      <c r="B94" s="141"/>
      <c r="C94" s="25">
        <v>2640</v>
      </c>
      <c r="D94" s="25">
        <v>244</v>
      </c>
      <c r="E94" s="25"/>
      <c r="F94" s="45">
        <f>SUM(F95:F102)</f>
        <v>14818360.02</v>
      </c>
      <c r="G94" s="45">
        <f>SUM(G95:G101)</f>
        <v>16852416.689999998</v>
      </c>
      <c r="H94" s="45">
        <f>SUM(H95:H101)</f>
        <v>16553796.009999998</v>
      </c>
      <c r="I94" s="26"/>
    </row>
    <row r="95" spans="1:9" s="4" customFormat="1" ht="14.45" customHeight="1" x14ac:dyDescent="0.2">
      <c r="A95" s="144" t="s">
        <v>101</v>
      </c>
      <c r="B95" s="145"/>
      <c r="C95" s="21"/>
      <c r="D95" s="23"/>
      <c r="E95" s="21"/>
      <c r="F95" s="22"/>
      <c r="G95" s="22"/>
      <c r="H95" s="22"/>
      <c r="I95" s="22"/>
    </row>
    <row r="96" spans="1:9" s="4" customFormat="1" ht="16.149999999999999" customHeight="1" x14ac:dyDescent="0.2">
      <c r="A96" s="126" t="s">
        <v>102</v>
      </c>
      <c r="B96" s="126"/>
      <c r="C96" s="21">
        <v>2641</v>
      </c>
      <c r="D96" s="23" t="s">
        <v>103</v>
      </c>
      <c r="E96" s="21"/>
      <c r="F96" s="22">
        <v>235839.01</v>
      </c>
      <c r="G96" s="22">
        <v>234490.45</v>
      </c>
      <c r="H96" s="22">
        <v>234490.45</v>
      </c>
      <c r="I96" s="22"/>
    </row>
    <row r="97" spans="1:9" s="4" customFormat="1" ht="13.15" customHeight="1" x14ac:dyDescent="0.2">
      <c r="A97" s="126" t="s">
        <v>104</v>
      </c>
      <c r="B97" s="126"/>
      <c r="C97" s="21">
        <v>2642</v>
      </c>
      <c r="D97" s="23" t="s">
        <v>103</v>
      </c>
      <c r="E97" s="21"/>
      <c r="F97" s="22">
        <f>30000+294220.46</f>
        <v>324220.46000000002</v>
      </c>
      <c r="G97" s="22">
        <v>290000</v>
      </c>
      <c r="H97" s="22">
        <v>290000</v>
      </c>
      <c r="I97" s="22"/>
    </row>
    <row r="98" spans="1:9" s="4" customFormat="1" ht="15" customHeight="1" x14ac:dyDescent="0.2">
      <c r="A98" s="144" t="s">
        <v>105</v>
      </c>
      <c r="B98" s="145"/>
      <c r="C98" s="24">
        <v>2643</v>
      </c>
      <c r="D98" s="23" t="s">
        <v>103</v>
      </c>
      <c r="E98" s="21"/>
      <c r="F98" s="22">
        <v>504086.15</v>
      </c>
      <c r="G98" s="22">
        <f>273209.72+50000</f>
        <v>323209.71999999997</v>
      </c>
      <c r="H98" s="22">
        <f>273209.72+50000</f>
        <v>323209.71999999997</v>
      </c>
      <c r="I98" s="22"/>
    </row>
    <row r="99" spans="1:9" s="4" customFormat="1" ht="14.45" customHeight="1" x14ac:dyDescent="0.2">
      <c r="A99" s="126" t="s">
        <v>106</v>
      </c>
      <c r="B99" s="126"/>
      <c r="C99" s="21">
        <v>2644</v>
      </c>
      <c r="D99" s="23" t="s">
        <v>103</v>
      </c>
      <c r="E99" s="21"/>
      <c r="F99" s="22">
        <v>9351304.1099999994</v>
      </c>
      <c r="G99" s="22">
        <f>535232.88+1799245.32+205000+8792949.77+45350+25100+11600+236850+18223.07</f>
        <v>11669551.039999999</v>
      </c>
      <c r="H99" s="22">
        <f>535232.88+1799245.32+205000+45350+22330.32+8036+236850+8541399.36</f>
        <v>11393443.879999999</v>
      </c>
      <c r="I99" s="22"/>
    </row>
    <row r="100" spans="1:9" s="4" customFormat="1" ht="16.149999999999999" customHeight="1" x14ac:dyDescent="0.2">
      <c r="A100" s="126" t="s">
        <v>107</v>
      </c>
      <c r="B100" s="126"/>
      <c r="C100" s="24">
        <v>2645</v>
      </c>
      <c r="D100" s="23" t="s">
        <v>103</v>
      </c>
      <c r="E100" s="21"/>
      <c r="F100" s="22">
        <v>3673592.69</v>
      </c>
      <c r="G100" s="22">
        <f>1857200+1500000</f>
        <v>3357200</v>
      </c>
      <c r="H100" s="22">
        <f>1857200+1500000</f>
        <v>3357200</v>
      </c>
      <c r="I100" s="22"/>
    </row>
    <row r="101" spans="1:9" s="4" customFormat="1" ht="13.9" customHeight="1" x14ac:dyDescent="0.2">
      <c r="A101" s="126" t="s">
        <v>108</v>
      </c>
      <c r="B101" s="126"/>
      <c r="C101" s="24">
        <v>2646</v>
      </c>
      <c r="D101" s="23" t="s">
        <v>103</v>
      </c>
      <c r="E101" s="21"/>
      <c r="F101" s="22">
        <f>6913.45+489716.65+610000+22000+25000+60000+62000+7111.25+12476.25+44100-610000</f>
        <v>729317.60000000009</v>
      </c>
      <c r="G101" s="22">
        <f>20665.48+62000+654400+300000+22000+25000-106100</f>
        <v>977965.48</v>
      </c>
      <c r="H101" s="22">
        <f>20665.48+62000+654400+300000+22000+25000-128613.52</f>
        <v>955451.96</v>
      </c>
      <c r="I101" s="22"/>
    </row>
    <row r="102" spans="1:9" s="4" customFormat="1" ht="10.15" customHeight="1" x14ac:dyDescent="0.2">
      <c r="A102" s="139"/>
      <c r="B102" s="140"/>
      <c r="C102" s="24"/>
      <c r="D102" s="23"/>
      <c r="E102" s="21"/>
      <c r="F102" s="22"/>
      <c r="G102" s="22"/>
      <c r="H102" s="22"/>
      <c r="I102" s="22"/>
    </row>
    <row r="103" spans="1:9" s="76" customFormat="1" ht="17.45" customHeight="1" x14ac:dyDescent="0.2">
      <c r="A103" s="142" t="s">
        <v>211</v>
      </c>
      <c r="B103" s="143" t="s">
        <v>211</v>
      </c>
      <c r="C103" s="74">
        <v>2650</v>
      </c>
      <c r="D103" s="75" t="s">
        <v>212</v>
      </c>
      <c r="E103" s="25"/>
      <c r="F103" s="77">
        <f>F105</f>
        <v>2557722.66</v>
      </c>
      <c r="G103" s="77">
        <f>G105</f>
        <v>2351188</v>
      </c>
      <c r="H103" s="77">
        <f>H105</f>
        <v>2351188</v>
      </c>
      <c r="I103" s="26"/>
    </row>
    <row r="104" spans="1:9" s="4" customFormat="1" ht="17.45" customHeight="1" x14ac:dyDescent="0.2">
      <c r="A104" s="144" t="s">
        <v>50</v>
      </c>
      <c r="B104" s="145" t="s">
        <v>50</v>
      </c>
      <c r="C104" s="24"/>
      <c r="D104" s="23"/>
      <c r="E104" s="21"/>
      <c r="F104" s="22"/>
      <c r="G104" s="22"/>
      <c r="H104" s="22"/>
      <c r="I104" s="22"/>
    </row>
    <row r="105" spans="1:9" s="4" customFormat="1" ht="17.45" customHeight="1" x14ac:dyDescent="0.2">
      <c r="A105" s="144" t="s">
        <v>104</v>
      </c>
      <c r="B105" s="145" t="s">
        <v>104</v>
      </c>
      <c r="C105" s="24">
        <v>2651</v>
      </c>
      <c r="D105" s="23" t="s">
        <v>212</v>
      </c>
      <c r="E105" s="21"/>
      <c r="F105" s="22">
        <f>400439.67+2157282.99</f>
        <v>2557722.66</v>
      </c>
      <c r="G105" s="22">
        <v>2351188</v>
      </c>
      <c r="H105" s="22">
        <v>2351188</v>
      </c>
      <c r="I105" s="22"/>
    </row>
    <row r="106" spans="1:9" s="4" customFormat="1" ht="21.6" customHeight="1" x14ac:dyDescent="0.2">
      <c r="A106" s="139" t="s">
        <v>109</v>
      </c>
      <c r="B106" s="140"/>
      <c r="C106" s="21">
        <v>2650</v>
      </c>
      <c r="D106" s="21">
        <v>400</v>
      </c>
      <c r="E106" s="21"/>
      <c r="F106" s="22">
        <f>F107+F108</f>
        <v>0</v>
      </c>
      <c r="G106" s="22">
        <f>G107+G108</f>
        <v>0</v>
      </c>
      <c r="H106" s="22">
        <f>H107+H108</f>
        <v>0</v>
      </c>
      <c r="I106" s="22">
        <f>I107+I108</f>
        <v>0</v>
      </c>
    </row>
    <row r="107" spans="1:9" s="4" customFormat="1" ht="37.9" customHeight="1" x14ac:dyDescent="0.2">
      <c r="A107" s="139" t="s">
        <v>110</v>
      </c>
      <c r="B107" s="140"/>
      <c r="C107" s="21">
        <v>2651</v>
      </c>
      <c r="D107" s="21">
        <v>406</v>
      </c>
      <c r="E107" s="21"/>
      <c r="F107" s="22"/>
      <c r="G107" s="22"/>
      <c r="H107" s="22"/>
      <c r="I107" s="22"/>
    </row>
    <row r="108" spans="1:9" s="4" customFormat="1" ht="30" customHeight="1" x14ac:dyDescent="0.2">
      <c r="A108" s="139" t="s">
        <v>111</v>
      </c>
      <c r="B108" s="140"/>
      <c r="C108" s="21">
        <v>2652</v>
      </c>
      <c r="D108" s="21">
        <v>407</v>
      </c>
      <c r="E108" s="21"/>
      <c r="F108" s="22"/>
      <c r="G108" s="22"/>
      <c r="H108" s="22"/>
      <c r="I108" s="22"/>
    </row>
    <row r="109" spans="1:9" s="4" customFormat="1" ht="15" customHeight="1" x14ac:dyDescent="0.2">
      <c r="A109" s="141" t="s">
        <v>112</v>
      </c>
      <c r="B109" s="141"/>
      <c r="C109" s="25">
        <v>3000</v>
      </c>
      <c r="D109" s="25">
        <v>100</v>
      </c>
      <c r="E109" s="21"/>
      <c r="F109" s="45">
        <f>SUM(F110:F112)</f>
        <v>0</v>
      </c>
      <c r="G109" s="45">
        <f>SUM(G110:G112)</f>
        <v>0</v>
      </c>
      <c r="H109" s="45">
        <f>SUM(H110:H112)</f>
        <v>0</v>
      </c>
      <c r="I109" s="26" t="s">
        <v>25</v>
      </c>
    </row>
    <row r="110" spans="1:9" s="4" customFormat="1" ht="26.25" customHeight="1" x14ac:dyDescent="0.2">
      <c r="A110" s="126" t="s">
        <v>113</v>
      </c>
      <c r="B110" s="126"/>
      <c r="C110" s="21">
        <v>3010</v>
      </c>
      <c r="D110" s="21"/>
      <c r="E110" s="25"/>
      <c r="F110" s="22"/>
      <c r="G110" s="22"/>
      <c r="H110" s="22"/>
      <c r="I110" s="22" t="s">
        <v>25</v>
      </c>
    </row>
    <row r="111" spans="1:9" s="4" customFormat="1" ht="15" customHeight="1" x14ac:dyDescent="0.2">
      <c r="A111" s="126" t="s">
        <v>114</v>
      </c>
      <c r="B111" s="126"/>
      <c r="C111" s="21">
        <v>3020</v>
      </c>
      <c r="D111" s="21"/>
      <c r="E111" s="21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115</v>
      </c>
      <c r="B112" s="126"/>
      <c r="C112" s="21">
        <v>3030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41" t="s">
        <v>116</v>
      </c>
      <c r="B113" s="141"/>
      <c r="C113" s="25">
        <v>4000</v>
      </c>
      <c r="D113" s="25" t="s">
        <v>25</v>
      </c>
      <c r="E113" s="21"/>
      <c r="F113" s="45">
        <f>F114</f>
        <v>472086.57</v>
      </c>
      <c r="G113" s="26">
        <f>G114</f>
        <v>0</v>
      </c>
      <c r="H113" s="26">
        <f>H114</f>
        <v>0</v>
      </c>
      <c r="I113" s="26" t="s">
        <v>25</v>
      </c>
    </row>
    <row r="114" spans="1:11" s="4" customFormat="1" ht="25.5" customHeight="1" x14ac:dyDescent="0.2">
      <c r="A114" s="126" t="s">
        <v>117</v>
      </c>
      <c r="B114" s="126"/>
      <c r="C114" s="21">
        <v>4010</v>
      </c>
      <c r="D114" s="21">
        <v>610</v>
      </c>
      <c r="E114" s="25"/>
      <c r="F114" s="22">
        <f>378548.25+72228.32+21310</f>
        <v>472086.57</v>
      </c>
      <c r="G114" s="22"/>
      <c r="H114" s="22"/>
      <c r="I114" s="22" t="s">
        <v>25</v>
      </c>
    </row>
    <row r="115" spans="1:11" s="4" customFormat="1" ht="9.6" customHeight="1" x14ac:dyDescent="0.2">
      <c r="A115" s="27"/>
      <c r="B115" s="28"/>
      <c r="C115" s="29"/>
      <c r="D115" s="29"/>
      <c r="E115" s="30"/>
      <c r="F115" s="31"/>
      <c r="G115" s="31"/>
      <c r="H115" s="31"/>
      <c r="I115" s="31"/>
    </row>
    <row r="116" spans="1:11" x14ac:dyDescent="0.25">
      <c r="A116" s="127" t="s">
        <v>118</v>
      </c>
      <c r="B116" s="127"/>
      <c r="C116" s="127"/>
      <c r="D116" s="127"/>
      <c r="E116" s="127"/>
      <c r="F116" s="127"/>
      <c r="G116" s="127"/>
      <c r="H116" s="127"/>
      <c r="I116" s="32"/>
    </row>
    <row r="117" spans="1:11" ht="7.9" customHeight="1" x14ac:dyDescent="0.25">
      <c r="A117" s="33"/>
      <c r="B117" s="32"/>
      <c r="C117" s="34"/>
      <c r="D117" s="34"/>
      <c r="E117" s="34"/>
      <c r="F117" s="34"/>
      <c r="G117" s="34"/>
      <c r="H117" s="34"/>
      <c r="I117" s="32"/>
    </row>
    <row r="118" spans="1:11" ht="15.6" customHeight="1" x14ac:dyDescent="0.25">
      <c r="A118" s="128" t="s">
        <v>119</v>
      </c>
      <c r="B118" s="128" t="s">
        <v>12</v>
      </c>
      <c r="C118" s="128" t="s">
        <v>120</v>
      </c>
      <c r="D118" s="128" t="s">
        <v>121</v>
      </c>
      <c r="E118" s="131" t="s">
        <v>14</v>
      </c>
      <c r="F118" s="134" t="s">
        <v>16</v>
      </c>
      <c r="G118" s="135"/>
      <c r="H118" s="135"/>
      <c r="I118" s="136"/>
    </row>
    <row r="119" spans="1:11" ht="19.899999999999999" customHeight="1" x14ac:dyDescent="0.25">
      <c r="A119" s="129"/>
      <c r="B119" s="129"/>
      <c r="C119" s="129"/>
      <c r="D119" s="129"/>
      <c r="E119" s="132"/>
      <c r="F119" s="11" t="s">
        <v>17</v>
      </c>
      <c r="G119" s="11" t="s">
        <v>18</v>
      </c>
      <c r="H119" s="11" t="s">
        <v>218</v>
      </c>
      <c r="I119" s="137" t="s">
        <v>19</v>
      </c>
    </row>
    <row r="120" spans="1:11" ht="36.6" customHeight="1" x14ac:dyDescent="0.25">
      <c r="A120" s="130"/>
      <c r="B120" s="130"/>
      <c r="C120" s="130"/>
      <c r="D120" s="130"/>
      <c r="E120" s="133"/>
      <c r="F120" s="11" t="s">
        <v>20</v>
      </c>
      <c r="G120" s="11" t="s">
        <v>21</v>
      </c>
      <c r="H120" s="11" t="s">
        <v>22</v>
      </c>
      <c r="I120" s="138"/>
    </row>
    <row r="121" spans="1:11" ht="14.45" customHeight="1" x14ac:dyDescent="0.25">
      <c r="A121" s="19">
        <v>1</v>
      </c>
      <c r="B121" s="11">
        <v>2</v>
      </c>
      <c r="C121" s="11">
        <v>3</v>
      </c>
      <c r="D121" s="11">
        <v>4</v>
      </c>
      <c r="E121" s="12" t="s">
        <v>122</v>
      </c>
      <c r="F121" s="11">
        <v>5</v>
      </c>
      <c r="G121" s="11">
        <v>6</v>
      </c>
      <c r="H121" s="11">
        <v>7</v>
      </c>
      <c r="I121" s="11">
        <v>8</v>
      </c>
    </row>
    <row r="122" spans="1:11" ht="21" customHeight="1" x14ac:dyDescent="0.25">
      <c r="A122" s="19">
        <v>1</v>
      </c>
      <c r="B122" s="35" t="s">
        <v>123</v>
      </c>
      <c r="C122" s="25">
        <v>26000</v>
      </c>
      <c r="D122" s="25" t="s">
        <v>25</v>
      </c>
      <c r="E122" s="10" t="s">
        <v>25</v>
      </c>
      <c r="F122" s="45">
        <f>F123+F124+F125+F129</f>
        <v>17376082.68</v>
      </c>
      <c r="G122" s="45">
        <f>G123+G124+G125+G129</f>
        <v>19203604.689999998</v>
      </c>
      <c r="H122" s="45">
        <f>H123+H124+H125+H129</f>
        <v>18904984.009999998</v>
      </c>
      <c r="I122" s="26">
        <f>I123+I124+I125+I129</f>
        <v>0</v>
      </c>
    </row>
    <row r="123" spans="1:11" ht="145.15" customHeight="1" x14ac:dyDescent="0.25">
      <c r="A123" s="36" t="s">
        <v>124</v>
      </c>
      <c r="B123" s="37" t="s">
        <v>125</v>
      </c>
      <c r="C123" s="38">
        <v>26100</v>
      </c>
      <c r="D123" s="21" t="s">
        <v>25</v>
      </c>
      <c r="E123" s="10" t="s">
        <v>25</v>
      </c>
      <c r="F123" s="22"/>
      <c r="G123" s="22"/>
      <c r="H123" s="22"/>
      <c r="I123" s="22"/>
    </row>
    <row r="124" spans="1:11" ht="40.9" customHeight="1" x14ac:dyDescent="0.25">
      <c r="A124" s="36" t="s">
        <v>126</v>
      </c>
      <c r="B124" s="37" t="s">
        <v>127</v>
      </c>
      <c r="C124" s="38">
        <v>26200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39" customHeight="1" x14ac:dyDescent="0.25">
      <c r="A125" s="36" t="s">
        <v>128</v>
      </c>
      <c r="B125" s="37" t="s">
        <v>129</v>
      </c>
      <c r="C125" s="38">
        <v>26300</v>
      </c>
      <c r="D125" s="21" t="s">
        <v>25</v>
      </c>
      <c r="E125" s="10" t="s">
        <v>25</v>
      </c>
      <c r="F125" s="22">
        <v>4552108.6100000003</v>
      </c>
      <c r="G125" s="22">
        <v>0</v>
      </c>
      <c r="H125" s="22">
        <v>0</v>
      </c>
      <c r="I125" s="22"/>
    </row>
    <row r="126" spans="1:11" ht="14.45" customHeight="1" x14ac:dyDescent="0.25">
      <c r="A126" s="39" t="s">
        <v>130</v>
      </c>
      <c r="B126" s="37" t="s">
        <v>131</v>
      </c>
      <c r="C126" s="38">
        <v>26310</v>
      </c>
      <c r="D126" s="21" t="s">
        <v>25</v>
      </c>
      <c r="E126" s="40" t="s">
        <v>25</v>
      </c>
      <c r="F126" s="44">
        <f>F125</f>
        <v>4552108.6100000003</v>
      </c>
      <c r="G126" s="22"/>
      <c r="H126" s="22"/>
      <c r="I126" s="22"/>
    </row>
    <row r="127" spans="1:11" x14ac:dyDescent="0.25">
      <c r="A127" s="39"/>
      <c r="B127" s="37" t="s">
        <v>191</v>
      </c>
      <c r="C127" s="38" t="s">
        <v>132</v>
      </c>
      <c r="D127" s="21" t="s">
        <v>25</v>
      </c>
      <c r="E127" s="10">
        <v>150</v>
      </c>
      <c r="F127" s="22">
        <v>45350</v>
      </c>
      <c r="G127" s="22"/>
      <c r="H127" s="22"/>
      <c r="I127" s="22"/>
      <c r="J127" s="53"/>
      <c r="K127" s="53"/>
    </row>
    <row r="128" spans="1:11" ht="15.6" customHeight="1" x14ac:dyDescent="0.25">
      <c r="A128" s="39" t="s">
        <v>133</v>
      </c>
      <c r="B128" s="37" t="s">
        <v>134</v>
      </c>
      <c r="C128" s="38">
        <v>26320</v>
      </c>
      <c r="D128" s="21" t="s">
        <v>25</v>
      </c>
      <c r="E128" s="10" t="s">
        <v>25</v>
      </c>
      <c r="F128" s="22"/>
      <c r="G128" s="22"/>
      <c r="H128" s="22"/>
      <c r="I128" s="22"/>
    </row>
    <row r="129" spans="1:12" ht="39.6" customHeight="1" x14ac:dyDescent="0.25">
      <c r="A129" s="36" t="s">
        <v>135</v>
      </c>
      <c r="B129" s="37" t="s">
        <v>136</v>
      </c>
      <c r="C129" s="38">
        <v>26400</v>
      </c>
      <c r="D129" s="21" t="s">
        <v>25</v>
      </c>
      <c r="E129" s="10" t="s">
        <v>25</v>
      </c>
      <c r="F129" s="44">
        <f>F130+F133+F140+F142+F145</f>
        <v>12823974.07</v>
      </c>
      <c r="G129" s="44">
        <f>G130+G133+G140+G142+G145</f>
        <v>19203604.689999998</v>
      </c>
      <c r="H129" s="44">
        <f>H130+H133+H140+H142+H145</f>
        <v>18904984.009999998</v>
      </c>
      <c r="I129" s="22">
        <f>I130+I133+I140+I142+I145</f>
        <v>0</v>
      </c>
      <c r="J129" s="50"/>
      <c r="K129" s="6"/>
      <c r="L129" s="6"/>
    </row>
    <row r="130" spans="1:12" ht="38.450000000000003" customHeight="1" x14ac:dyDescent="0.25">
      <c r="A130" s="39" t="s">
        <v>137</v>
      </c>
      <c r="B130" s="37" t="s">
        <v>138</v>
      </c>
      <c r="C130" s="38">
        <v>26410</v>
      </c>
      <c r="D130" s="21" t="s">
        <v>25</v>
      </c>
      <c r="E130" s="10" t="s">
        <v>25</v>
      </c>
      <c r="F130" s="44">
        <f>F131+F132</f>
        <v>2392018.8200000003</v>
      </c>
      <c r="G130" s="44">
        <f>G131+G132</f>
        <v>6583666.3699999973</v>
      </c>
      <c r="H130" s="44">
        <f>H131+H132</f>
        <v>6561152.8499999996</v>
      </c>
      <c r="I130" s="22">
        <f>I131+I132</f>
        <v>0</v>
      </c>
    </row>
    <row r="131" spans="1:12" ht="26.25" x14ac:dyDescent="0.25">
      <c r="A131" s="39" t="s">
        <v>139</v>
      </c>
      <c r="B131" s="37" t="s">
        <v>140</v>
      </c>
      <c r="C131" s="38">
        <v>26411</v>
      </c>
      <c r="D131" s="21" t="s">
        <v>25</v>
      </c>
      <c r="E131" s="10" t="s">
        <v>25</v>
      </c>
      <c r="F131" s="44">
        <f>F91-F125-F133-F145-F123</f>
        <v>2392018.8200000003</v>
      </c>
      <c r="G131" s="44">
        <f>G91-G125-G133-G145</f>
        <v>6583666.3699999973</v>
      </c>
      <c r="H131" s="44">
        <f>H91-H125-H133-H145</f>
        <v>6561152.8499999996</v>
      </c>
      <c r="I131" s="22"/>
    </row>
    <row r="132" spans="1:12" ht="19.899999999999999" customHeight="1" x14ac:dyDescent="0.25">
      <c r="A132" s="39" t="s">
        <v>141</v>
      </c>
      <c r="B132" s="37" t="s">
        <v>142</v>
      </c>
      <c r="C132" s="21">
        <v>26412</v>
      </c>
      <c r="D132" s="21" t="s">
        <v>25</v>
      </c>
      <c r="E132" s="10" t="s">
        <v>25</v>
      </c>
      <c r="F132" s="22"/>
      <c r="G132" s="22"/>
      <c r="H132" s="22"/>
      <c r="I132" s="22"/>
    </row>
    <row r="133" spans="1:12" ht="28.9" customHeight="1" x14ac:dyDescent="0.25">
      <c r="A133" s="39" t="s">
        <v>143</v>
      </c>
      <c r="B133" s="37" t="s">
        <v>144</v>
      </c>
      <c r="C133" s="38">
        <v>26420</v>
      </c>
      <c r="D133" s="21" t="s">
        <v>25</v>
      </c>
      <c r="E133" s="10" t="s">
        <v>25</v>
      </c>
      <c r="F133" s="44">
        <f>F134+F139</f>
        <v>10239955.25</v>
      </c>
      <c r="G133" s="44">
        <f>G134+G139</f>
        <v>12537272.84</v>
      </c>
      <c r="H133" s="44">
        <f>H134+H139</f>
        <v>12261165.679999998</v>
      </c>
      <c r="I133" s="22">
        <f>I134+I139</f>
        <v>0</v>
      </c>
    </row>
    <row r="134" spans="1:12" ht="26.45" customHeight="1" x14ac:dyDescent="0.25">
      <c r="A134" s="39" t="s">
        <v>145</v>
      </c>
      <c r="B134" s="37" t="s">
        <v>140</v>
      </c>
      <c r="C134" s="38">
        <v>26421</v>
      </c>
      <c r="D134" s="21" t="s">
        <v>25</v>
      </c>
      <c r="E134" s="10" t="s">
        <v>25</v>
      </c>
      <c r="F134" s="82">
        <f>F35-76804.92-23195.08-F52-F127</f>
        <v>10239955.25</v>
      </c>
      <c r="G134" s="44">
        <f>G35-76804.92-23195.08-G52</f>
        <v>12537272.84</v>
      </c>
      <c r="H134" s="44">
        <f>H35-76804.92-23195.08-H52</f>
        <v>12261165.679999998</v>
      </c>
      <c r="I134" s="22"/>
    </row>
    <row r="135" spans="1:12" ht="15.6" customHeight="1" x14ac:dyDescent="0.25">
      <c r="A135" s="39"/>
      <c r="B135" s="37" t="s">
        <v>146</v>
      </c>
      <c r="C135" s="38" t="s">
        <v>147</v>
      </c>
      <c r="D135" s="21" t="s">
        <v>25</v>
      </c>
      <c r="E135" s="10">
        <v>150</v>
      </c>
      <c r="F135" s="44">
        <f>F134-F136-F137-F138</f>
        <v>4107885.26</v>
      </c>
      <c r="G135" s="44">
        <f>G134-G136-G137-G138</f>
        <v>3744323.0699999994</v>
      </c>
      <c r="H135" s="44">
        <f>H134-H136-H137-H138</f>
        <v>3719766.319999998</v>
      </c>
      <c r="I135" s="22"/>
    </row>
    <row r="136" spans="1:12" ht="55.15" customHeight="1" x14ac:dyDescent="0.25">
      <c r="A136" s="39"/>
      <c r="B136" s="37" t="s">
        <v>198</v>
      </c>
      <c r="C136" s="38" t="s">
        <v>225</v>
      </c>
      <c r="D136" s="21" t="s">
        <v>25</v>
      </c>
      <c r="E136" s="10" t="s">
        <v>197</v>
      </c>
      <c r="F136" s="44">
        <f>F49</f>
        <v>4520564.6500000004</v>
      </c>
      <c r="G136" s="44">
        <v>6481945.7000000002</v>
      </c>
      <c r="H136" s="44">
        <f>H49</f>
        <v>6482395.7000000002</v>
      </c>
      <c r="I136" s="22"/>
    </row>
    <row r="137" spans="1:12" ht="59.45" customHeight="1" x14ac:dyDescent="0.25">
      <c r="A137" s="39"/>
      <c r="B137" s="37" t="s">
        <v>199</v>
      </c>
      <c r="C137" s="38" t="s">
        <v>226</v>
      </c>
      <c r="D137" s="21" t="s">
        <v>25</v>
      </c>
      <c r="E137" s="10" t="s">
        <v>197</v>
      </c>
      <c r="F137" s="44">
        <f>F50</f>
        <v>1427543.13</v>
      </c>
      <c r="G137" s="44">
        <v>2046995.37</v>
      </c>
      <c r="H137" s="44">
        <f>H50</f>
        <v>1802579.38</v>
      </c>
      <c r="I137" s="22"/>
    </row>
    <row r="138" spans="1:12" ht="53.45" customHeight="1" x14ac:dyDescent="0.25">
      <c r="A138" s="39"/>
      <c r="B138" s="37" t="s">
        <v>200</v>
      </c>
      <c r="C138" s="38" t="s">
        <v>194</v>
      </c>
      <c r="D138" s="21" t="s">
        <v>25</v>
      </c>
      <c r="E138" s="10" t="s">
        <v>197</v>
      </c>
      <c r="F138" s="44">
        <f>F51</f>
        <v>183962.21</v>
      </c>
      <c r="G138" s="44">
        <v>264008.7</v>
      </c>
      <c r="H138" s="44">
        <f>H51</f>
        <v>256424.28</v>
      </c>
      <c r="I138" s="22"/>
    </row>
    <row r="139" spans="1:12" ht="19.899999999999999" customHeight="1" x14ac:dyDescent="0.25">
      <c r="A139" s="39" t="s">
        <v>148</v>
      </c>
      <c r="B139" s="37" t="s">
        <v>142</v>
      </c>
      <c r="C139" s="38">
        <v>26422</v>
      </c>
      <c r="D139" s="21" t="s">
        <v>25</v>
      </c>
      <c r="E139" s="10" t="s">
        <v>25</v>
      </c>
      <c r="F139" s="22"/>
      <c r="G139" s="22"/>
      <c r="H139" s="22"/>
      <c r="I139" s="22"/>
    </row>
    <row r="140" spans="1:12" ht="18.600000000000001" customHeight="1" x14ac:dyDescent="0.25">
      <c r="A140" s="39" t="s">
        <v>149</v>
      </c>
      <c r="B140" s="37" t="s">
        <v>150</v>
      </c>
      <c r="C140" s="38">
        <v>26430</v>
      </c>
      <c r="D140" s="21" t="s">
        <v>25</v>
      </c>
      <c r="E140" s="10" t="s">
        <v>25</v>
      </c>
      <c r="F140" s="22"/>
      <c r="G140" s="22"/>
      <c r="H140" s="22"/>
      <c r="I140" s="22"/>
      <c r="L140" s="51"/>
    </row>
    <row r="141" spans="1:12" ht="16.899999999999999" customHeight="1" x14ac:dyDescent="0.25">
      <c r="A141" s="39"/>
      <c r="B141" s="37" t="s">
        <v>146</v>
      </c>
      <c r="C141" s="38" t="s">
        <v>151</v>
      </c>
      <c r="D141" s="21" t="s">
        <v>25</v>
      </c>
      <c r="E141" s="10"/>
      <c r="F141" s="22"/>
      <c r="G141" s="22"/>
      <c r="H141" s="22"/>
      <c r="I141" s="22"/>
    </row>
    <row r="142" spans="1:12" ht="19.149999999999999" customHeight="1" x14ac:dyDescent="0.25">
      <c r="A142" s="39" t="s">
        <v>152</v>
      </c>
      <c r="B142" s="37" t="s">
        <v>153</v>
      </c>
      <c r="C142" s="38">
        <v>26440</v>
      </c>
      <c r="D142" s="21" t="s">
        <v>25</v>
      </c>
      <c r="E142" s="10" t="s">
        <v>25</v>
      </c>
      <c r="F142" s="44">
        <f>F143+F144</f>
        <v>0</v>
      </c>
      <c r="G142" s="44">
        <f>G143+G144</f>
        <v>0</v>
      </c>
      <c r="H142" s="44">
        <f>H143+H144</f>
        <v>0</v>
      </c>
      <c r="I142" s="22">
        <f>I143+I144</f>
        <v>0</v>
      </c>
    </row>
    <row r="143" spans="1:12" ht="27.6" customHeight="1" x14ac:dyDescent="0.25">
      <c r="A143" s="39" t="s">
        <v>154</v>
      </c>
      <c r="B143" s="37" t="s">
        <v>140</v>
      </c>
      <c r="C143" s="38">
        <v>26441</v>
      </c>
      <c r="D143" s="21" t="s">
        <v>25</v>
      </c>
      <c r="E143" s="10" t="s">
        <v>25</v>
      </c>
      <c r="F143" s="22"/>
      <c r="G143" s="22"/>
      <c r="H143" s="22"/>
      <c r="I143" s="22"/>
    </row>
    <row r="144" spans="1:12" ht="19.149999999999999" customHeight="1" x14ac:dyDescent="0.25">
      <c r="A144" s="41" t="s">
        <v>155</v>
      </c>
      <c r="B144" s="37" t="s">
        <v>142</v>
      </c>
      <c r="C144" s="38">
        <v>26442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899999999999999" customHeight="1" x14ac:dyDescent="0.25">
      <c r="A145" s="41" t="s">
        <v>156</v>
      </c>
      <c r="B145" s="37" t="s">
        <v>157</v>
      </c>
      <c r="C145" s="38">
        <v>26450</v>
      </c>
      <c r="D145" s="21" t="s">
        <v>25</v>
      </c>
      <c r="E145" s="10" t="s">
        <v>25</v>
      </c>
      <c r="F145" s="94">
        <f>F146+F148</f>
        <v>192000</v>
      </c>
      <c r="G145" s="94">
        <f>G146+G148</f>
        <v>82665.48</v>
      </c>
      <c r="H145" s="94">
        <f>H146+H148</f>
        <v>82665.48</v>
      </c>
      <c r="I145" s="22">
        <f>I146+I148</f>
        <v>0</v>
      </c>
    </row>
    <row r="146" spans="1:10" ht="26.25" x14ac:dyDescent="0.25">
      <c r="A146" s="41" t="s">
        <v>158</v>
      </c>
      <c r="B146" s="37" t="s">
        <v>140</v>
      </c>
      <c r="C146" s="38">
        <v>26451</v>
      </c>
      <c r="D146" s="21" t="s">
        <v>25</v>
      </c>
      <c r="E146" s="10" t="s">
        <v>25</v>
      </c>
      <c r="F146" s="94">
        <f>10000+10000+50000+60000+62000</f>
        <v>192000</v>
      </c>
      <c r="G146" s="94">
        <f>20665.48+62000</f>
        <v>82665.48</v>
      </c>
      <c r="H146" s="94">
        <f>20665.48+62000</f>
        <v>82665.48</v>
      </c>
      <c r="I146" s="22"/>
    </row>
    <row r="147" spans="1:10" ht="19.149999999999999" customHeight="1" x14ac:dyDescent="0.25">
      <c r="A147" s="41"/>
      <c r="B147" s="37" t="s">
        <v>146</v>
      </c>
      <c r="C147" s="38" t="s">
        <v>159</v>
      </c>
      <c r="D147" s="21" t="s">
        <v>25</v>
      </c>
      <c r="E147" s="10">
        <v>150</v>
      </c>
      <c r="F147" s="49"/>
      <c r="G147" s="22"/>
      <c r="H147" s="22"/>
      <c r="I147" s="22"/>
      <c r="J147" s="53"/>
    </row>
    <row r="148" spans="1:10" ht="19.899999999999999" customHeight="1" x14ac:dyDescent="0.25">
      <c r="A148" s="41" t="s">
        <v>160</v>
      </c>
      <c r="B148" s="37" t="s">
        <v>142</v>
      </c>
      <c r="C148" s="38">
        <v>26452</v>
      </c>
      <c r="D148" s="21" t="s">
        <v>25</v>
      </c>
      <c r="E148" s="10" t="s">
        <v>25</v>
      </c>
      <c r="F148" s="22"/>
      <c r="G148" s="22"/>
      <c r="H148" s="22"/>
      <c r="I148" s="22"/>
    </row>
    <row r="149" spans="1:10" ht="42.6" customHeight="1" x14ac:dyDescent="0.25">
      <c r="A149" s="41" t="s">
        <v>161</v>
      </c>
      <c r="B149" s="37" t="s">
        <v>162</v>
      </c>
      <c r="C149" s="38">
        <v>26500</v>
      </c>
      <c r="D149" s="21" t="s">
        <v>25</v>
      </c>
      <c r="E149" s="10" t="s">
        <v>25</v>
      </c>
      <c r="F149" s="44">
        <f>F151+F152+F153</f>
        <v>12823974.07</v>
      </c>
      <c r="G149" s="44">
        <f>G151+G152+G153</f>
        <v>19203604.689999998</v>
      </c>
      <c r="H149" s="44">
        <f>H151+H152+H153</f>
        <v>18904984.009999998</v>
      </c>
      <c r="I149" s="22">
        <f>I150+I154</f>
        <v>0</v>
      </c>
    </row>
    <row r="150" spans="1:10" ht="15.6" customHeight="1" x14ac:dyDescent="0.25">
      <c r="A150" s="41"/>
      <c r="B150" s="37" t="s">
        <v>163</v>
      </c>
      <c r="C150" s="38">
        <v>26510</v>
      </c>
      <c r="D150" s="21"/>
      <c r="E150" s="10" t="s">
        <v>25</v>
      </c>
      <c r="F150" s="44"/>
      <c r="G150" s="44"/>
      <c r="H150" s="44"/>
      <c r="I150" s="22"/>
    </row>
    <row r="151" spans="1:10" ht="18.600000000000001" customHeight="1" x14ac:dyDescent="0.25">
      <c r="A151" s="41" t="s">
        <v>204</v>
      </c>
      <c r="B151" s="37"/>
      <c r="C151" s="38"/>
      <c r="D151" s="21">
        <v>2021</v>
      </c>
      <c r="E151" s="10"/>
      <c r="F151" s="44">
        <f>F129</f>
        <v>12823974.07</v>
      </c>
      <c r="G151" s="44"/>
      <c r="H151" s="44"/>
      <c r="I151" s="22"/>
    </row>
    <row r="152" spans="1:10" ht="19.899999999999999" customHeight="1" x14ac:dyDescent="0.25">
      <c r="A152" s="41" t="s">
        <v>205</v>
      </c>
      <c r="B152" s="37"/>
      <c r="C152" s="38"/>
      <c r="D152" s="21">
        <v>2022</v>
      </c>
      <c r="E152" s="10"/>
      <c r="F152" s="44"/>
      <c r="G152" s="44">
        <f>G129-G151-G153</f>
        <v>19203604.689999998</v>
      </c>
      <c r="H152" s="44"/>
      <c r="I152" s="22"/>
    </row>
    <row r="153" spans="1:10" ht="18" customHeight="1" x14ac:dyDescent="0.25">
      <c r="A153" s="41" t="s">
        <v>206</v>
      </c>
      <c r="B153" s="37"/>
      <c r="C153" s="38"/>
      <c r="D153" s="21">
        <v>2023</v>
      </c>
      <c r="E153" s="10"/>
      <c r="F153" s="44"/>
      <c r="G153" s="44"/>
      <c r="H153" s="44">
        <f>H129-H152-H151</f>
        <v>18904984.009999998</v>
      </c>
      <c r="I153" s="22"/>
    </row>
    <row r="154" spans="1:10" ht="16.899999999999999" customHeight="1" x14ac:dyDescent="0.25">
      <c r="A154" s="41"/>
      <c r="B154" s="37"/>
      <c r="C154" s="38"/>
      <c r="D154" s="21"/>
      <c r="E154" s="10" t="s">
        <v>25</v>
      </c>
      <c r="F154" s="22"/>
      <c r="G154" s="22"/>
      <c r="H154" s="22"/>
      <c r="I154" s="22"/>
    </row>
    <row r="155" spans="1:10" ht="39" x14ac:dyDescent="0.25">
      <c r="A155" s="41" t="s">
        <v>164</v>
      </c>
      <c r="B155" s="37" t="s">
        <v>165</v>
      </c>
      <c r="C155" s="38">
        <v>26600</v>
      </c>
      <c r="D155" s="21" t="s">
        <v>25</v>
      </c>
      <c r="E155" s="10" t="s">
        <v>25</v>
      </c>
      <c r="F155" s="44">
        <f>F156+F157</f>
        <v>0</v>
      </c>
      <c r="G155" s="44">
        <f>G156+G157</f>
        <v>0</v>
      </c>
      <c r="H155" s="44">
        <f>H156+H157</f>
        <v>0</v>
      </c>
      <c r="I155" s="22">
        <f>I156+I157</f>
        <v>0</v>
      </c>
    </row>
    <row r="156" spans="1:10" x14ac:dyDescent="0.25">
      <c r="A156" s="41"/>
      <c r="B156" s="37" t="s">
        <v>163</v>
      </c>
      <c r="C156" s="38">
        <v>26610</v>
      </c>
      <c r="D156" s="21"/>
      <c r="E156" s="10" t="s">
        <v>25</v>
      </c>
      <c r="F156" s="22"/>
      <c r="G156" s="22"/>
      <c r="H156" s="22"/>
      <c r="I156" s="22"/>
    </row>
    <row r="157" spans="1:10" x14ac:dyDescent="0.25">
      <c r="A157" s="41"/>
      <c r="B157" s="37"/>
      <c r="C157" s="21"/>
      <c r="D157" s="21"/>
      <c r="E157" s="10" t="s">
        <v>25</v>
      </c>
      <c r="F157" s="22"/>
      <c r="G157" s="22"/>
      <c r="H157" s="22"/>
      <c r="I157" s="22"/>
    </row>
    <row r="158" spans="1:10" ht="6.75" customHeight="1" x14ac:dyDescent="0.25">
      <c r="A158" s="33"/>
      <c r="B158" s="32"/>
      <c r="C158" s="34"/>
      <c r="D158" s="34"/>
      <c r="E158" s="34"/>
      <c r="F158" s="34"/>
      <c r="G158" s="34"/>
      <c r="H158" s="34"/>
      <c r="I158" s="32"/>
    </row>
    <row r="159" spans="1:10" x14ac:dyDescent="0.25">
      <c r="A159" s="63"/>
      <c r="B159" s="5"/>
      <c r="C159" s="64"/>
      <c r="D159" s="64"/>
      <c r="E159" s="64"/>
      <c r="F159" s="64"/>
      <c r="G159" s="64"/>
      <c r="H159" s="64"/>
      <c r="I159" s="5"/>
    </row>
    <row r="160" spans="1:10" x14ac:dyDescent="0.25">
      <c r="A160" s="65" t="s">
        <v>227</v>
      </c>
      <c r="D160" s="66"/>
      <c r="E160" s="55"/>
      <c r="F160" s="124" t="s">
        <v>208</v>
      </c>
      <c r="G160" s="124"/>
    </row>
    <row r="161" spans="1:10" x14ac:dyDescent="0.25">
      <c r="B161" s="1"/>
      <c r="C161" s="1"/>
      <c r="D161" s="67" t="s">
        <v>166</v>
      </c>
      <c r="F161" s="125" t="s">
        <v>167</v>
      </c>
      <c r="G161" s="125"/>
    </row>
    <row r="162" spans="1:10" x14ac:dyDescent="0.25">
      <c r="B162" s="1"/>
      <c r="C162" s="1"/>
      <c r="D162" s="1"/>
      <c r="E162" s="1"/>
      <c r="F162" s="1"/>
      <c r="G162" s="68"/>
    </row>
    <row r="163" spans="1:10" x14ac:dyDescent="0.25">
      <c r="A163" s="65"/>
      <c r="D163" s="66"/>
      <c r="E163" s="55"/>
      <c r="F163" s="124" t="s">
        <v>168</v>
      </c>
      <c r="G163" s="124"/>
    </row>
    <row r="164" spans="1:10" ht="13.5" customHeight="1" x14ac:dyDescent="0.25">
      <c r="A164" s="1" t="s">
        <v>169</v>
      </c>
      <c r="B164" s="1"/>
      <c r="C164" s="1"/>
      <c r="D164" s="67" t="s">
        <v>166</v>
      </c>
      <c r="F164" s="125" t="s">
        <v>167</v>
      </c>
      <c r="G164" s="125"/>
    </row>
    <row r="165" spans="1:10" hidden="1" x14ac:dyDescent="0.25">
      <c r="A165" s="65"/>
    </row>
    <row r="166" spans="1:10" ht="1.5" hidden="1" customHeight="1" x14ac:dyDescent="0.3">
      <c r="A166" s="65"/>
      <c r="H166" s="69"/>
      <c r="I166" s="69"/>
      <c r="J166"/>
    </row>
    <row r="167" spans="1:10" ht="17.25" customHeight="1" x14ac:dyDescent="0.3">
      <c r="A167" s="70"/>
      <c r="B167" s="69"/>
      <c r="C167" s="69"/>
      <c r="H167" s="69"/>
      <c r="I167" s="69"/>
      <c r="J167"/>
    </row>
    <row r="168" spans="1:10" ht="18.75" hidden="1" x14ac:dyDescent="0.3">
      <c r="A168" s="70"/>
      <c r="B168" s="69"/>
      <c r="C168" s="69"/>
      <c r="D168" s="69"/>
      <c r="E168" s="69"/>
      <c r="F168" s="71"/>
      <c r="H168" s="69"/>
      <c r="I168" s="69"/>
      <c r="J168"/>
    </row>
    <row r="169" spans="1:10" ht="45.75" customHeight="1" x14ac:dyDescent="0.3">
      <c r="A169" s="72" t="s">
        <v>232</v>
      </c>
      <c r="B169" s="72"/>
      <c r="C169" s="72"/>
      <c r="D169" s="72"/>
      <c r="E169" s="69"/>
      <c r="F169" s="71"/>
      <c r="H169" s="69"/>
      <c r="I169" s="69"/>
      <c r="J169"/>
    </row>
    <row r="170" spans="1:10" ht="15.75" customHeight="1" x14ac:dyDescent="0.3">
      <c r="A170" s="91" t="s">
        <v>170</v>
      </c>
      <c r="B170" s="91"/>
      <c r="C170" s="91"/>
      <c r="D170" s="91"/>
      <c r="E170" s="73"/>
      <c r="H170" s="69"/>
      <c r="I170" s="69"/>
      <c r="J170"/>
    </row>
    <row r="171" spans="1:10" x14ac:dyDescent="0.25">
      <c r="A171" s="91"/>
      <c r="B171" s="91"/>
      <c r="C171" s="91"/>
      <c r="D171" s="91"/>
      <c r="E171" s="91"/>
      <c r="H171" s="5"/>
      <c r="I171" s="5"/>
    </row>
    <row r="172" spans="1:10" x14ac:dyDescent="0.25">
      <c r="C172" s="5"/>
      <c r="D172" s="5"/>
      <c r="E172" s="5"/>
      <c r="H172" s="5"/>
      <c r="I172" s="5"/>
    </row>
    <row r="173" spans="1:10" x14ac:dyDescent="0.25">
      <c r="A173" s="2"/>
      <c r="H173" s="5"/>
      <c r="I173" s="5"/>
    </row>
    <row r="174" spans="1:10" x14ac:dyDescent="0.25"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E186" s="5"/>
    </row>
  </sheetData>
  <mergeCells count="116">
    <mergeCell ref="F160:G160"/>
    <mergeCell ref="F161:G161"/>
    <mergeCell ref="F163:G163"/>
    <mergeCell ref="F164:G164"/>
    <mergeCell ref="A118:A120"/>
    <mergeCell ref="B118:B120"/>
    <mergeCell ref="C118:C120"/>
    <mergeCell ref="D118:D120"/>
    <mergeCell ref="E118:E120"/>
    <mergeCell ref="F118:I118"/>
    <mergeCell ref="I119:I120"/>
    <mergeCell ref="A110:B110"/>
    <mergeCell ref="A111:B111"/>
    <mergeCell ref="A112:B112"/>
    <mergeCell ref="A113:B113"/>
    <mergeCell ref="A114:B114"/>
    <mergeCell ref="A116:H116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39:B39"/>
    <mergeCell ref="A40:B40"/>
    <mergeCell ref="A43:B43"/>
    <mergeCell ref="A30:B30"/>
    <mergeCell ref="A31:B31"/>
    <mergeCell ref="A32:B32"/>
    <mergeCell ref="A33:B33"/>
    <mergeCell ref="A34:B34"/>
    <mergeCell ref="A35:B35"/>
    <mergeCell ref="A42:B42"/>
    <mergeCell ref="A41:B41"/>
    <mergeCell ref="A24:B24"/>
    <mergeCell ref="A25:B25"/>
    <mergeCell ref="A26:B26"/>
    <mergeCell ref="A27:B27"/>
    <mergeCell ref="A28:B28"/>
    <mergeCell ref="A29:B29"/>
    <mergeCell ref="A19:B19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3"/>
  <sheetViews>
    <sheetView topLeftCell="A19" zoomScale="85" zoomScaleNormal="85" zoomScaleSheetLayoutView="70" workbookViewId="0">
      <selection activeCell="I157" sqref="I157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228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229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230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11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11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11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11" ht="10.9" customHeight="1" x14ac:dyDescent="0.25">
      <c r="H20" s="57"/>
      <c r="I20" s="62"/>
    </row>
    <row r="21" spans="1:11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11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11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11" s="4" customFormat="1" ht="12.75" customHeight="1" x14ac:dyDescent="0.2">
      <c r="A24" s="149">
        <v>1</v>
      </c>
      <c r="B24" s="149"/>
      <c r="C24" s="88">
        <v>2</v>
      </c>
      <c r="D24" s="88">
        <v>3</v>
      </c>
      <c r="E24" s="88">
        <v>4</v>
      </c>
      <c r="F24" s="11">
        <v>5</v>
      </c>
      <c r="G24" s="11">
        <v>6</v>
      </c>
      <c r="H24" s="11">
        <v>7</v>
      </c>
      <c r="I24" s="88">
        <v>8</v>
      </c>
    </row>
    <row r="25" spans="1:11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378548.25+72228.32+21310+109334.52</f>
        <v>581421.09</v>
      </c>
      <c r="G25" s="13">
        <v>0</v>
      </c>
      <c r="H25" s="13">
        <v>0</v>
      </c>
      <c r="I25" s="13">
        <v>0</v>
      </c>
    </row>
    <row r="26" spans="1:11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F25+F27-F58+F107-F111</f>
        <v>0</v>
      </c>
      <c r="G26" s="43">
        <f>G25+G27-G58-G111</f>
        <v>-7.4505805969238281E-9</v>
      </c>
      <c r="H26" s="43">
        <f>H25+H27-H58-H111</f>
        <v>-7.4505805969238281E-9</v>
      </c>
      <c r="I26" s="43">
        <v>0</v>
      </c>
    </row>
    <row r="27" spans="1:11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F28+F29+F33+F34+F53+F55+F56</f>
        <v>56372757.219999999</v>
      </c>
      <c r="G27" s="42">
        <f>G28+G29+G33+G34+G53+G55+G56</f>
        <v>58498779.229999989</v>
      </c>
      <c r="H27" s="42">
        <f>H28+H29+H33+H34+H53+H55+H56</f>
        <v>58200158.54999999</v>
      </c>
      <c r="I27" s="42">
        <f>I28+I29+I33+I34+I53+I55+I56</f>
        <v>0</v>
      </c>
    </row>
    <row r="28" spans="1:11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11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F30+F32+F54</f>
        <v>42572391.969999999</v>
      </c>
      <c r="G29" s="42">
        <f>G30+G32+G54+G55</f>
        <v>42257280.909999996</v>
      </c>
      <c r="H29" s="42">
        <f>H30+H32+H54+H55</f>
        <v>42234767.389999993</v>
      </c>
      <c r="I29" s="42">
        <f>SUM(I30:I32)</f>
        <v>0</v>
      </c>
    </row>
    <row r="30" spans="1:11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7057300.92+36051226.05-1000000+454080-170215</f>
        <v>42392391.969999999</v>
      </c>
      <c r="G30" s="52">
        <f>42353595.91-106100-170215</f>
        <v>42077280.909999996</v>
      </c>
      <c r="H30" s="52">
        <f>42353595.91-128613.52-170215</f>
        <v>42054767.389999993</v>
      </c>
      <c r="I30" s="13"/>
    </row>
    <row r="31" spans="1:11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  <c r="K31" s="4">
        <f>19998.97+12252.05</f>
        <v>32251.02</v>
      </c>
    </row>
    <row r="32" spans="1:11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180000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F35+F51+F52</f>
        <v>13788365.25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86">
        <f>SUM(F37:F50)</f>
        <v>13788365.25</v>
      </c>
      <c r="G35" s="86">
        <f>SUM(G37:G53)</f>
        <v>16230832.84</v>
      </c>
      <c r="H35" s="86">
        <f>SUM(H37:H50)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172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173</v>
      </c>
      <c r="B38" s="149"/>
      <c r="C38" s="19"/>
      <c r="D38" s="12"/>
      <c r="E38" s="11"/>
      <c r="F38" s="20">
        <f>52050-52050</f>
        <v>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174</v>
      </c>
      <c r="B40" s="149"/>
      <c r="C40" s="12"/>
      <c r="D40" s="12"/>
      <c r="E40" s="11"/>
      <c r="F40" s="84">
        <v>100000</v>
      </c>
      <c r="G40" s="84"/>
      <c r="H40" s="84"/>
      <c r="I40" s="13"/>
    </row>
    <row r="41" spans="1:9" s="46" customFormat="1" ht="29.45" customHeight="1" x14ac:dyDescent="0.2">
      <c r="A41" s="149" t="s">
        <v>175</v>
      </c>
      <c r="B41" s="149"/>
      <c r="C41" s="12"/>
      <c r="D41" s="12"/>
      <c r="E41" s="11"/>
      <c r="F41" s="84">
        <v>45350</v>
      </c>
      <c r="G41" s="84">
        <v>45350</v>
      </c>
      <c r="H41" s="84">
        <v>45350</v>
      </c>
      <c r="I41" s="13"/>
    </row>
    <row r="42" spans="1:9" s="46" customFormat="1" ht="43.15" customHeight="1" x14ac:dyDescent="0.2">
      <c r="A42" s="149" t="s">
        <v>176</v>
      </c>
      <c r="B42" s="149"/>
      <c r="C42" s="12"/>
      <c r="D42" s="12"/>
      <c r="E42" s="11"/>
      <c r="F42" s="84">
        <v>22330.32</v>
      </c>
      <c r="G42" s="84">
        <v>25100</v>
      </c>
      <c r="H42" s="84">
        <v>22330.32</v>
      </c>
      <c r="I42" s="13"/>
    </row>
    <row r="43" spans="1:9" s="46" customFormat="1" ht="84" customHeight="1" x14ac:dyDescent="0.2">
      <c r="A43" s="147" t="s">
        <v>177</v>
      </c>
      <c r="B43" s="148"/>
      <c r="C43" s="12"/>
      <c r="D43" s="12"/>
      <c r="E43" s="11"/>
      <c r="F43" s="84">
        <v>8036</v>
      </c>
      <c r="G43" s="84">
        <v>11600</v>
      </c>
      <c r="H43" s="84">
        <v>8036</v>
      </c>
      <c r="I43" s="13"/>
    </row>
    <row r="44" spans="1:9" s="46" customFormat="1" ht="60.75" customHeight="1" x14ac:dyDescent="0.2">
      <c r="A44" s="149" t="s">
        <v>178</v>
      </c>
      <c r="B44" s="149"/>
      <c r="C44" s="12"/>
      <c r="D44" s="12"/>
      <c r="E44" s="11"/>
      <c r="F44" s="84">
        <v>236850</v>
      </c>
      <c r="G44" s="84">
        <v>236850</v>
      </c>
      <c r="H44" s="84">
        <v>236850</v>
      </c>
      <c r="I44" s="13"/>
    </row>
    <row r="45" spans="1:9" s="46" customFormat="1" ht="45" customHeight="1" x14ac:dyDescent="0.2">
      <c r="A45" s="149" t="s">
        <v>192</v>
      </c>
      <c r="B45" s="149"/>
      <c r="C45" s="12"/>
      <c r="D45" s="47"/>
      <c r="E45" s="11"/>
      <c r="F45" s="84">
        <v>1957200</v>
      </c>
      <c r="G45" s="84">
        <v>1957200</v>
      </c>
      <c r="H45" s="84">
        <v>1957200</v>
      </c>
      <c r="I45" s="13"/>
    </row>
    <row r="46" spans="1:9" s="46" customFormat="1" ht="45" customHeight="1" x14ac:dyDescent="0.2">
      <c r="A46" s="150" t="s">
        <v>231</v>
      </c>
      <c r="B46" s="151"/>
      <c r="C46" s="12"/>
      <c r="D46" s="47"/>
      <c r="E46" s="11"/>
      <c r="F46" s="84">
        <v>44100</v>
      </c>
      <c r="G46" s="84"/>
      <c r="H46" s="84"/>
      <c r="I46" s="13"/>
    </row>
    <row r="47" spans="1:9" s="46" customFormat="1" ht="55.9" customHeight="1" x14ac:dyDescent="0.2">
      <c r="A47" s="152" t="s">
        <v>201</v>
      </c>
      <c r="B47" s="153"/>
      <c r="C47" s="79"/>
      <c r="D47" s="80"/>
      <c r="E47" s="81"/>
      <c r="F47" s="85">
        <v>4520564.6500000004</v>
      </c>
      <c r="G47" s="84">
        <v>6686413.75</v>
      </c>
      <c r="H47" s="84">
        <v>6482395.7000000002</v>
      </c>
      <c r="I47" s="13"/>
    </row>
    <row r="48" spans="1:9" s="46" customFormat="1" ht="54.6" customHeight="1" x14ac:dyDescent="0.2">
      <c r="A48" s="152" t="s">
        <v>202</v>
      </c>
      <c r="B48" s="153"/>
      <c r="C48" s="79"/>
      <c r="D48" s="80"/>
      <c r="E48" s="81"/>
      <c r="F48" s="85">
        <v>1427543.13</v>
      </c>
      <c r="G48" s="84">
        <v>1860220</v>
      </c>
      <c r="H48" s="84">
        <v>1802579.38</v>
      </c>
      <c r="I48" s="13"/>
    </row>
    <row r="49" spans="1:11" s="46" customFormat="1" ht="55.9" customHeight="1" x14ac:dyDescent="0.2">
      <c r="A49" s="152" t="s">
        <v>203</v>
      </c>
      <c r="B49" s="153"/>
      <c r="C49" s="79"/>
      <c r="D49" s="80"/>
      <c r="E49" s="81"/>
      <c r="F49" s="85">
        <v>183962.21</v>
      </c>
      <c r="G49" s="84">
        <v>264539.09000000003</v>
      </c>
      <c r="H49" s="84">
        <v>256424.28</v>
      </c>
      <c r="I49" s="13"/>
    </row>
    <row r="50" spans="1:11" s="46" customFormat="1" ht="82.9" customHeight="1" x14ac:dyDescent="0.2">
      <c r="A50" s="154" t="s">
        <v>223</v>
      </c>
      <c r="B50" s="155"/>
      <c r="C50" s="79"/>
      <c r="D50" s="80"/>
      <c r="E50" s="81"/>
      <c r="F50" s="85">
        <v>3593560</v>
      </c>
      <c r="G50" s="84">
        <v>3593560</v>
      </c>
      <c r="H50" s="84">
        <v>3593560</v>
      </c>
      <c r="I50" s="13"/>
    </row>
    <row r="51" spans="1:11" s="46" customFormat="1" ht="15" customHeight="1" x14ac:dyDescent="0.2">
      <c r="A51" s="149" t="s">
        <v>180</v>
      </c>
      <c r="B51" s="149"/>
      <c r="C51" s="12" t="s">
        <v>51</v>
      </c>
      <c r="D51" s="12" t="s">
        <v>47</v>
      </c>
      <c r="E51" s="11"/>
      <c r="F51" s="13"/>
      <c r="G51" s="13"/>
      <c r="H51" s="13"/>
      <c r="I51" s="13"/>
    </row>
    <row r="52" spans="1:11" s="46" customFormat="1" ht="26.25" customHeight="1" x14ac:dyDescent="0.2">
      <c r="A52" s="147" t="s">
        <v>179</v>
      </c>
      <c r="B52" s="148"/>
      <c r="C52" s="12" t="s">
        <v>52</v>
      </c>
      <c r="D52" s="12" t="s">
        <v>47</v>
      </c>
      <c r="E52" s="11"/>
      <c r="F52" s="13"/>
      <c r="G52" s="13"/>
      <c r="H52" s="13"/>
      <c r="I52" s="13"/>
    </row>
    <row r="53" spans="1:11" s="46" customFormat="1" ht="15" customHeight="1" x14ac:dyDescent="0.2">
      <c r="A53" s="149" t="s">
        <v>53</v>
      </c>
      <c r="B53" s="149"/>
      <c r="C53" s="12" t="s">
        <v>54</v>
      </c>
      <c r="D53" s="12" t="s">
        <v>55</v>
      </c>
      <c r="E53" s="11"/>
      <c r="F53" s="13"/>
      <c r="G53" s="13"/>
      <c r="H53" s="13"/>
      <c r="I53" s="13"/>
    </row>
    <row r="54" spans="1:11" s="4" customFormat="1" ht="15" customHeight="1" x14ac:dyDescent="0.2">
      <c r="A54" s="149" t="s">
        <v>56</v>
      </c>
      <c r="B54" s="149"/>
      <c r="C54" s="12" t="s">
        <v>57</v>
      </c>
      <c r="D54" s="12" t="s">
        <v>55</v>
      </c>
      <c r="E54" s="11"/>
      <c r="F54" s="13"/>
      <c r="G54" s="13"/>
      <c r="H54" s="13"/>
      <c r="I54" s="13"/>
    </row>
    <row r="55" spans="1:11" s="4" customFormat="1" ht="15" customHeight="1" x14ac:dyDescent="0.2">
      <c r="A55" s="149" t="s">
        <v>58</v>
      </c>
      <c r="B55" s="149"/>
      <c r="C55" s="12" t="s">
        <v>59</v>
      </c>
      <c r="D55" s="12" t="s">
        <v>60</v>
      </c>
      <c r="E55" s="11"/>
      <c r="F55" s="13"/>
      <c r="G55" s="13"/>
      <c r="H55" s="13"/>
      <c r="I55" s="13"/>
    </row>
    <row r="56" spans="1:11" s="4" customFormat="1" ht="15" customHeight="1" x14ac:dyDescent="0.2">
      <c r="A56" s="149" t="s">
        <v>61</v>
      </c>
      <c r="B56" s="149"/>
      <c r="C56" s="12" t="s">
        <v>62</v>
      </c>
      <c r="D56" s="12" t="s">
        <v>25</v>
      </c>
      <c r="E56" s="11"/>
      <c r="F56" s="13"/>
      <c r="G56" s="13"/>
      <c r="H56" s="13"/>
      <c r="I56" s="13"/>
    </row>
    <row r="57" spans="1:11" s="4" customFormat="1" ht="38.450000000000003" customHeight="1" x14ac:dyDescent="0.2">
      <c r="A57" s="149" t="s">
        <v>63</v>
      </c>
      <c r="B57" s="149"/>
      <c r="C57" s="12" t="s">
        <v>64</v>
      </c>
      <c r="D57" s="12" t="s">
        <v>65</v>
      </c>
      <c r="E57" s="11"/>
      <c r="F57" s="13"/>
      <c r="G57" s="13"/>
      <c r="H57" s="13"/>
      <c r="I57" s="13" t="s">
        <v>25</v>
      </c>
    </row>
    <row r="58" spans="1:11" s="4" customFormat="1" ht="15" customHeight="1" x14ac:dyDescent="0.2">
      <c r="A58" s="146" t="s">
        <v>66</v>
      </c>
      <c r="B58" s="146"/>
      <c r="C58" s="15" t="s">
        <v>67</v>
      </c>
      <c r="D58" s="15" t="s">
        <v>25</v>
      </c>
      <c r="E58" s="16">
        <v>200</v>
      </c>
      <c r="F58" s="42">
        <f>F59+F69+F76+F80+F87+F89</f>
        <v>56482091.740000002</v>
      </c>
      <c r="G58" s="42">
        <f>G59+G69+G76+G80+G87+G89</f>
        <v>58498779.229999997</v>
      </c>
      <c r="H58" s="42">
        <f>H59+H69+H76+H80+H87+H89</f>
        <v>58200158.549999997</v>
      </c>
      <c r="I58" s="17"/>
    </row>
    <row r="59" spans="1:11" s="4" customFormat="1" ht="27" customHeight="1" x14ac:dyDescent="0.2">
      <c r="A59" s="126" t="s">
        <v>68</v>
      </c>
      <c r="B59" s="126"/>
      <c r="C59" s="21">
        <v>2100</v>
      </c>
      <c r="D59" s="15" t="s">
        <v>25</v>
      </c>
      <c r="E59" s="21"/>
      <c r="F59" s="44">
        <f>F60+F61+F62+F63+F64+F65+F67</f>
        <v>39194949.539999999</v>
      </c>
      <c r="G59" s="44">
        <f>G60+G61+G62+G63+G64+G65+G67</f>
        <v>39194949.539999999</v>
      </c>
      <c r="H59" s="44">
        <f>H60+H61+H62+H63+H64+H65+H67</f>
        <v>39194949.539999999</v>
      </c>
      <c r="I59" s="22" t="s">
        <v>25</v>
      </c>
    </row>
    <row r="60" spans="1:11" s="4" customFormat="1" ht="25.5" customHeight="1" x14ac:dyDescent="0.2">
      <c r="A60" s="126" t="s">
        <v>69</v>
      </c>
      <c r="B60" s="126"/>
      <c r="C60" s="21">
        <v>2110</v>
      </c>
      <c r="D60" s="21">
        <v>111</v>
      </c>
      <c r="E60" s="21"/>
      <c r="F60" s="22">
        <f>27221908.24+90000+82949.31+76804.92+2760030.72-130733.49</f>
        <v>30100959.699999999</v>
      </c>
      <c r="G60" s="22">
        <f>82949.31+27221908.24+90000+76804.92+2760030.72-130733.49</f>
        <v>30100959.699999999</v>
      </c>
      <c r="H60" s="22">
        <f>82949.31+27221908.24+90000+76804.92+2760030.72-130733.49</f>
        <v>30100959.699999999</v>
      </c>
      <c r="I60" s="22" t="s">
        <v>25</v>
      </c>
      <c r="K60" s="90"/>
    </row>
    <row r="61" spans="1:11" s="4" customFormat="1" ht="15" customHeight="1" x14ac:dyDescent="0.2">
      <c r="A61" s="126" t="s">
        <v>70</v>
      </c>
      <c r="B61" s="126"/>
      <c r="C61" s="21">
        <v>2120</v>
      </c>
      <c r="D61" s="21">
        <v>112</v>
      </c>
      <c r="E61" s="21"/>
      <c r="F61" s="22">
        <v>3500</v>
      </c>
      <c r="G61" s="22">
        <v>3500</v>
      </c>
      <c r="H61" s="22">
        <v>3500</v>
      </c>
      <c r="I61" s="22" t="s">
        <v>25</v>
      </c>
      <c r="K61" s="90"/>
    </row>
    <row r="62" spans="1:11" s="4" customFormat="1" ht="28.5" customHeight="1" x14ac:dyDescent="0.2">
      <c r="A62" s="126" t="s">
        <v>71</v>
      </c>
      <c r="B62" s="126"/>
      <c r="C62" s="21">
        <v>2130</v>
      </c>
      <c r="D62" s="21">
        <v>113</v>
      </c>
      <c r="E62" s="21"/>
      <c r="F62" s="22"/>
      <c r="G62" s="22"/>
      <c r="H62" s="22"/>
      <c r="I62" s="22" t="s">
        <v>25</v>
      </c>
      <c r="K62" s="90"/>
    </row>
    <row r="63" spans="1:11" s="4" customFormat="1" ht="28.9" customHeight="1" x14ac:dyDescent="0.2">
      <c r="A63" s="126" t="s">
        <v>72</v>
      </c>
      <c r="B63" s="126"/>
      <c r="C63" s="21">
        <v>2140</v>
      </c>
      <c r="D63" s="21">
        <v>119</v>
      </c>
      <c r="E63" s="21"/>
      <c r="F63" s="22">
        <f>8248196.3+25050.69+23195.08+833529.28-39481.51</f>
        <v>9090489.8399999999</v>
      </c>
      <c r="G63" s="22">
        <f>25050.69+8248196.3+23195.08+833529.28-39481.51</f>
        <v>9090489.8399999999</v>
      </c>
      <c r="H63" s="22">
        <f>25050.69+8248196.3+23195.08+833529.28-39481.51</f>
        <v>9090489.8399999999</v>
      </c>
      <c r="I63" s="22" t="s">
        <v>25</v>
      </c>
    </row>
    <row r="64" spans="1:11" s="4" customFormat="1" ht="16.899999999999999" customHeight="1" x14ac:dyDescent="0.2">
      <c r="A64" s="126" t="s">
        <v>73</v>
      </c>
      <c r="B64" s="126"/>
      <c r="C64" s="21">
        <v>2150</v>
      </c>
      <c r="D64" s="21">
        <v>131</v>
      </c>
      <c r="E64" s="21"/>
      <c r="F64" s="22"/>
      <c r="G64" s="22"/>
      <c r="H64" s="22"/>
      <c r="I64" s="22" t="s">
        <v>25</v>
      </c>
    </row>
    <row r="65" spans="1:9" s="4" customFormat="1" ht="27" customHeight="1" x14ac:dyDescent="0.2">
      <c r="A65" s="126" t="s">
        <v>74</v>
      </c>
      <c r="B65" s="126"/>
      <c r="C65" s="21">
        <v>2160</v>
      </c>
      <c r="D65" s="21">
        <v>133</v>
      </c>
      <c r="E65" s="21"/>
      <c r="F65" s="22"/>
      <c r="G65" s="22"/>
      <c r="H65" s="22"/>
      <c r="I65" s="22" t="s">
        <v>25</v>
      </c>
    </row>
    <row r="66" spans="1:9" s="4" customFormat="1" ht="15.75" customHeight="1" x14ac:dyDescent="0.2">
      <c r="A66" s="126" t="s">
        <v>75</v>
      </c>
      <c r="B66" s="126"/>
      <c r="C66" s="21">
        <v>2170</v>
      </c>
      <c r="D66" s="21">
        <v>134</v>
      </c>
      <c r="E66" s="21"/>
      <c r="F66" s="22"/>
      <c r="G66" s="22"/>
      <c r="H66" s="22"/>
      <c r="I66" s="22"/>
    </row>
    <row r="67" spans="1:9" s="4" customFormat="1" ht="30.75" customHeight="1" x14ac:dyDescent="0.2">
      <c r="A67" s="126" t="s">
        <v>76</v>
      </c>
      <c r="B67" s="126"/>
      <c r="C67" s="21">
        <v>2180</v>
      </c>
      <c r="D67" s="21">
        <v>139</v>
      </c>
      <c r="E67" s="21"/>
      <c r="F67" s="44">
        <f>F68</f>
        <v>0</v>
      </c>
      <c r="G67" s="44">
        <f>G68</f>
        <v>0</v>
      </c>
      <c r="H67" s="44">
        <f>H68</f>
        <v>0</v>
      </c>
      <c r="I67" s="22" t="s">
        <v>25</v>
      </c>
    </row>
    <row r="68" spans="1:9" s="4" customFormat="1" ht="25.5" customHeight="1" x14ac:dyDescent="0.2">
      <c r="A68" s="126" t="s">
        <v>77</v>
      </c>
      <c r="B68" s="126"/>
      <c r="C68" s="21">
        <v>2181</v>
      </c>
      <c r="D68" s="21">
        <v>139</v>
      </c>
      <c r="E68" s="21"/>
      <c r="F68" s="22"/>
      <c r="G68" s="22"/>
      <c r="H68" s="22"/>
      <c r="I68" s="22" t="s">
        <v>25</v>
      </c>
    </row>
    <row r="69" spans="1:9" s="76" customFormat="1" ht="15" customHeight="1" x14ac:dyDescent="0.2">
      <c r="A69" s="141" t="s">
        <v>78</v>
      </c>
      <c r="B69" s="141"/>
      <c r="C69" s="25">
        <v>2200</v>
      </c>
      <c r="D69" s="25">
        <v>300</v>
      </c>
      <c r="E69" s="25"/>
      <c r="F69" s="45">
        <f>F70+F73+F74+F75</f>
        <v>0</v>
      </c>
      <c r="G69" s="45">
        <f>G70+G73+G74+G75</f>
        <v>0</v>
      </c>
      <c r="H69" s="45">
        <f>H70+H73+H74+H75</f>
        <v>0</v>
      </c>
      <c r="I69" s="26" t="s">
        <v>25</v>
      </c>
    </row>
    <row r="70" spans="1:9" s="4" customFormat="1" ht="24.6" customHeight="1" x14ac:dyDescent="0.2">
      <c r="A70" s="126" t="s">
        <v>79</v>
      </c>
      <c r="B70" s="126"/>
      <c r="C70" s="21">
        <v>2210</v>
      </c>
      <c r="D70" s="21">
        <v>320</v>
      </c>
      <c r="E70" s="21"/>
      <c r="F70" s="44">
        <f>SUM(F71:F72)</f>
        <v>0</v>
      </c>
      <c r="G70" s="44">
        <f>SUM(G71:G71)</f>
        <v>0</v>
      </c>
      <c r="H70" s="44">
        <f>SUM(H71:H71)</f>
        <v>0</v>
      </c>
      <c r="I70" s="22" t="s">
        <v>25</v>
      </c>
    </row>
    <row r="71" spans="1:9" s="4" customFormat="1" ht="36.6" customHeight="1" x14ac:dyDescent="0.2">
      <c r="A71" s="126" t="s">
        <v>80</v>
      </c>
      <c r="B71" s="126"/>
      <c r="C71" s="21">
        <v>2211</v>
      </c>
      <c r="D71" s="21">
        <v>321</v>
      </c>
      <c r="E71" s="21"/>
      <c r="F71" s="22"/>
      <c r="G71" s="22"/>
      <c r="H71" s="22"/>
      <c r="I71" s="22" t="s">
        <v>25</v>
      </c>
    </row>
    <row r="72" spans="1:9" s="4" customFormat="1" ht="15.6" customHeight="1" x14ac:dyDescent="0.2">
      <c r="A72" s="139" t="s">
        <v>181</v>
      </c>
      <c r="B72" s="140"/>
      <c r="C72" s="21">
        <v>2212</v>
      </c>
      <c r="D72" s="21">
        <v>321</v>
      </c>
      <c r="E72" s="21"/>
      <c r="F72" s="22"/>
      <c r="G72" s="22"/>
      <c r="H72" s="22"/>
      <c r="I72" s="22" t="s">
        <v>25</v>
      </c>
    </row>
    <row r="73" spans="1:9" s="4" customFormat="1" ht="25.9" customHeight="1" x14ac:dyDescent="0.2">
      <c r="A73" s="126" t="s">
        <v>81</v>
      </c>
      <c r="B73" s="126"/>
      <c r="C73" s="21">
        <v>2220</v>
      </c>
      <c r="D73" s="21">
        <v>340</v>
      </c>
      <c r="E73" s="21"/>
      <c r="F73" s="22"/>
      <c r="G73" s="22"/>
      <c r="H73" s="22"/>
      <c r="I73" s="22" t="s">
        <v>25</v>
      </c>
    </row>
    <row r="74" spans="1:9" s="4" customFormat="1" ht="39" customHeight="1" x14ac:dyDescent="0.2">
      <c r="A74" s="126" t="s">
        <v>82</v>
      </c>
      <c r="B74" s="126"/>
      <c r="C74" s="21">
        <v>2230</v>
      </c>
      <c r="D74" s="21">
        <v>350</v>
      </c>
      <c r="E74" s="21"/>
      <c r="F74" s="22"/>
      <c r="G74" s="22"/>
      <c r="H74" s="22"/>
      <c r="I74" s="22" t="s">
        <v>25</v>
      </c>
    </row>
    <row r="75" spans="1:9" s="4" customFormat="1" ht="16.149999999999999" customHeight="1" x14ac:dyDescent="0.2">
      <c r="A75" s="126" t="s">
        <v>83</v>
      </c>
      <c r="B75" s="126"/>
      <c r="C75" s="21">
        <v>2240</v>
      </c>
      <c r="D75" s="21">
        <v>360</v>
      </c>
      <c r="E75" s="21"/>
      <c r="F75" s="22"/>
      <c r="G75" s="22"/>
      <c r="H75" s="22"/>
      <c r="I75" s="22" t="s">
        <v>25</v>
      </c>
    </row>
    <row r="76" spans="1:9" s="76" customFormat="1" ht="15" customHeight="1" x14ac:dyDescent="0.2">
      <c r="A76" s="141" t="s">
        <v>84</v>
      </c>
      <c r="B76" s="141"/>
      <c r="C76" s="25">
        <v>2300</v>
      </c>
      <c r="D76" s="25">
        <v>850</v>
      </c>
      <c r="E76" s="25"/>
      <c r="F76" s="45">
        <f>SUM(F77:F79)</f>
        <v>101559.52</v>
      </c>
      <c r="G76" s="45">
        <f>SUM(G77:G79)</f>
        <v>100225</v>
      </c>
      <c r="H76" s="45">
        <f>SUM(H77:H79)</f>
        <v>100225</v>
      </c>
      <c r="I76" s="26" t="s">
        <v>25</v>
      </c>
    </row>
    <row r="77" spans="1:9" s="4" customFormat="1" ht="24" customHeight="1" x14ac:dyDescent="0.2">
      <c r="A77" s="126" t="s">
        <v>85</v>
      </c>
      <c r="B77" s="126"/>
      <c r="C77" s="21">
        <v>2310</v>
      </c>
      <c r="D77" s="21">
        <v>851</v>
      </c>
      <c r="E77" s="21"/>
      <c r="F77" s="22">
        <v>87400</v>
      </c>
      <c r="G77" s="22">
        <v>87400</v>
      </c>
      <c r="H77" s="22">
        <v>87400</v>
      </c>
      <c r="I77" s="22" t="s">
        <v>25</v>
      </c>
    </row>
    <row r="78" spans="1:9" s="4" customFormat="1" ht="30" customHeight="1" x14ac:dyDescent="0.2">
      <c r="A78" s="126" t="s">
        <v>86</v>
      </c>
      <c r="B78" s="126"/>
      <c r="C78" s="21">
        <v>2320</v>
      </c>
      <c r="D78" s="21">
        <v>852</v>
      </c>
      <c r="E78" s="21"/>
      <c r="F78" s="22">
        <v>0</v>
      </c>
      <c r="G78" s="22"/>
      <c r="H78" s="22"/>
      <c r="I78" s="22" t="s">
        <v>25</v>
      </c>
    </row>
    <row r="79" spans="1:9" s="4" customFormat="1" ht="13.5" customHeight="1" x14ac:dyDescent="0.2">
      <c r="A79" s="126" t="s">
        <v>87</v>
      </c>
      <c r="B79" s="126"/>
      <c r="C79" s="21">
        <v>2330</v>
      </c>
      <c r="D79" s="21">
        <v>853</v>
      </c>
      <c r="E79" s="21"/>
      <c r="F79" s="22">
        <f>12825+1334.52</f>
        <v>14159.52</v>
      </c>
      <c r="G79" s="22">
        <v>12825</v>
      </c>
      <c r="H79" s="22">
        <v>12825</v>
      </c>
      <c r="I79" s="22" t="s">
        <v>25</v>
      </c>
    </row>
    <row r="80" spans="1:9" s="4" customFormat="1" ht="13.5" customHeight="1" x14ac:dyDescent="0.2">
      <c r="A80" s="126" t="s">
        <v>88</v>
      </c>
      <c r="B80" s="126"/>
      <c r="C80" s="21">
        <v>2400</v>
      </c>
      <c r="D80" s="21" t="s">
        <v>25</v>
      </c>
      <c r="E80" s="21"/>
      <c r="F80" s="44">
        <f>SUM(F81:F83)</f>
        <v>0</v>
      </c>
      <c r="G80" s="44">
        <f>SUM(G81:G83)</f>
        <v>0</v>
      </c>
      <c r="H80" s="44">
        <f>SUM(H81:H83)</f>
        <v>0</v>
      </c>
      <c r="I80" s="22" t="s">
        <v>25</v>
      </c>
    </row>
    <row r="81" spans="1:10" s="4" customFormat="1" ht="21.6" customHeight="1" x14ac:dyDescent="0.2">
      <c r="A81" s="126" t="s">
        <v>89</v>
      </c>
      <c r="B81" s="126"/>
      <c r="C81" s="21">
        <v>2410</v>
      </c>
      <c r="D81" s="21">
        <v>613</v>
      </c>
      <c r="E81" s="21"/>
      <c r="F81" s="22"/>
      <c r="G81" s="22"/>
      <c r="H81" s="22"/>
      <c r="I81" s="22" t="s">
        <v>25</v>
      </c>
    </row>
    <row r="82" spans="1:10" s="4" customFormat="1" ht="15" customHeight="1" x14ac:dyDescent="0.2">
      <c r="A82" s="126" t="s">
        <v>90</v>
      </c>
      <c r="B82" s="126"/>
      <c r="C82" s="21">
        <v>2420</v>
      </c>
      <c r="D82" s="21">
        <v>623</v>
      </c>
      <c r="E82" s="21"/>
      <c r="F82" s="22"/>
      <c r="G82" s="22"/>
      <c r="H82" s="22"/>
      <c r="I82" s="22" t="s">
        <v>25</v>
      </c>
    </row>
    <row r="83" spans="1:10" s="4" customFormat="1" ht="30" customHeight="1" x14ac:dyDescent="0.2">
      <c r="A83" s="126" t="s">
        <v>91</v>
      </c>
      <c r="B83" s="126"/>
      <c r="C83" s="21">
        <v>2430</v>
      </c>
      <c r="D83" s="21">
        <v>634</v>
      </c>
      <c r="E83" s="21"/>
      <c r="F83" s="22"/>
      <c r="G83" s="22"/>
      <c r="H83" s="22"/>
      <c r="I83" s="22" t="s">
        <v>25</v>
      </c>
    </row>
    <row r="84" spans="1:10" s="4" customFormat="1" ht="16.899999999999999" customHeight="1" x14ac:dyDescent="0.2">
      <c r="A84" s="139" t="s">
        <v>92</v>
      </c>
      <c r="B84" s="140"/>
      <c r="C84" s="21">
        <v>2440</v>
      </c>
      <c r="D84" s="21">
        <v>810</v>
      </c>
      <c r="E84" s="21"/>
      <c r="F84" s="22"/>
      <c r="G84" s="22"/>
      <c r="H84" s="22"/>
      <c r="I84" s="22"/>
    </row>
    <row r="85" spans="1:10" s="4" customFormat="1" ht="16.899999999999999" customHeight="1" x14ac:dyDescent="0.2">
      <c r="A85" s="139" t="s">
        <v>93</v>
      </c>
      <c r="B85" s="140"/>
      <c r="C85" s="21">
        <v>2450</v>
      </c>
      <c r="D85" s="21">
        <v>862</v>
      </c>
      <c r="E85" s="21"/>
      <c r="F85" s="22"/>
      <c r="G85" s="22"/>
      <c r="H85" s="22"/>
      <c r="I85" s="22"/>
    </row>
    <row r="86" spans="1:10" s="4" customFormat="1" ht="30.75" customHeight="1" x14ac:dyDescent="0.2">
      <c r="A86" s="139" t="s">
        <v>94</v>
      </c>
      <c r="B86" s="140"/>
      <c r="C86" s="21">
        <v>2460</v>
      </c>
      <c r="D86" s="21">
        <v>863</v>
      </c>
      <c r="E86" s="21"/>
      <c r="F86" s="22"/>
      <c r="G86" s="22"/>
      <c r="H86" s="22"/>
      <c r="I86" s="22"/>
    </row>
    <row r="87" spans="1:10" s="4" customFormat="1" ht="15" customHeight="1" x14ac:dyDescent="0.2">
      <c r="A87" s="126" t="s">
        <v>95</v>
      </c>
      <c r="B87" s="126"/>
      <c r="C87" s="21">
        <v>2500</v>
      </c>
      <c r="D87" s="21" t="s">
        <v>25</v>
      </c>
      <c r="E87" s="21"/>
      <c r="F87" s="44">
        <f>F88</f>
        <v>0</v>
      </c>
      <c r="G87" s="44">
        <f>G88</f>
        <v>0</v>
      </c>
      <c r="H87" s="44">
        <f>H88</f>
        <v>0</v>
      </c>
      <c r="I87" s="22" t="s">
        <v>25</v>
      </c>
    </row>
    <row r="88" spans="1:10" s="4" customFormat="1" ht="31.5" customHeight="1" x14ac:dyDescent="0.2">
      <c r="A88" s="126" t="s">
        <v>96</v>
      </c>
      <c r="B88" s="126"/>
      <c r="C88" s="21">
        <v>2520</v>
      </c>
      <c r="D88" s="21">
        <v>831</v>
      </c>
      <c r="E88" s="21"/>
      <c r="F88" s="22"/>
      <c r="G88" s="22"/>
      <c r="H88" s="22"/>
      <c r="I88" s="22" t="s">
        <v>25</v>
      </c>
    </row>
    <row r="89" spans="1:10" s="76" customFormat="1" ht="15" customHeight="1" x14ac:dyDescent="0.2">
      <c r="A89" s="141" t="s">
        <v>97</v>
      </c>
      <c r="B89" s="141"/>
      <c r="C89" s="25">
        <v>2600</v>
      </c>
      <c r="D89" s="25" t="s">
        <v>25</v>
      </c>
      <c r="E89" s="25"/>
      <c r="F89" s="45">
        <f>F90+F91+F92+F104+F101</f>
        <v>17185582.68</v>
      </c>
      <c r="G89" s="45">
        <f>G90+G91+G92+G104+G101</f>
        <v>19203604.689999998</v>
      </c>
      <c r="H89" s="45">
        <f>H90+H91+H92+H104+H101</f>
        <v>18904984.009999998</v>
      </c>
      <c r="I89" s="26"/>
    </row>
    <row r="90" spans="1:10" s="4" customFormat="1" ht="30" customHeight="1" x14ac:dyDescent="0.2">
      <c r="A90" s="126" t="s">
        <v>98</v>
      </c>
      <c r="B90" s="126"/>
      <c r="C90" s="21">
        <v>2610</v>
      </c>
      <c r="D90" s="21">
        <v>241</v>
      </c>
      <c r="E90" s="21"/>
      <c r="F90" s="22"/>
      <c r="G90" s="22"/>
      <c r="H90" s="22"/>
      <c r="I90" s="22"/>
    </row>
    <row r="91" spans="1:10" s="4" customFormat="1" ht="27.75" customHeight="1" x14ac:dyDescent="0.2">
      <c r="A91" s="126" t="s">
        <v>99</v>
      </c>
      <c r="B91" s="126"/>
      <c r="C91" s="21">
        <v>2630</v>
      </c>
      <c r="D91" s="21">
        <v>243</v>
      </c>
      <c r="E91" s="21"/>
      <c r="F91" s="22"/>
      <c r="G91" s="22"/>
      <c r="H91" s="22"/>
      <c r="I91" s="22"/>
    </row>
    <row r="92" spans="1:10" s="76" customFormat="1" ht="15" customHeight="1" x14ac:dyDescent="0.2">
      <c r="A92" s="141" t="s">
        <v>100</v>
      </c>
      <c r="B92" s="141"/>
      <c r="C92" s="25">
        <v>2640</v>
      </c>
      <c r="D92" s="25">
        <v>244</v>
      </c>
      <c r="E92" s="25"/>
      <c r="F92" s="45">
        <f>SUM(F93:F100)</f>
        <v>14627860.02</v>
      </c>
      <c r="G92" s="45">
        <f>SUM(G93:G99)</f>
        <v>16852416.689999998</v>
      </c>
      <c r="H92" s="45">
        <f>SUM(H93:H99)</f>
        <v>16553796.009999998</v>
      </c>
      <c r="I92" s="26"/>
    </row>
    <row r="93" spans="1:10" s="4" customFormat="1" ht="14.45" customHeight="1" x14ac:dyDescent="0.2">
      <c r="A93" s="144" t="s">
        <v>101</v>
      </c>
      <c r="B93" s="145"/>
      <c r="C93" s="21"/>
      <c r="D93" s="23"/>
      <c r="E93" s="21"/>
      <c r="F93" s="22"/>
      <c r="G93" s="22"/>
      <c r="H93" s="22"/>
      <c r="I93" s="22"/>
    </row>
    <row r="94" spans="1:10" s="4" customFormat="1" ht="16.149999999999999" customHeight="1" x14ac:dyDescent="0.2">
      <c r="A94" s="126" t="s">
        <v>102</v>
      </c>
      <c r="B94" s="126"/>
      <c r="C94" s="21">
        <v>2641</v>
      </c>
      <c r="D94" s="23" t="s">
        <v>103</v>
      </c>
      <c r="E94" s="21"/>
      <c r="F94" s="22">
        <v>235839.01</v>
      </c>
      <c r="G94" s="22">
        <v>234490.45</v>
      </c>
      <c r="H94" s="22">
        <v>234490.45</v>
      </c>
      <c r="I94" s="22"/>
    </row>
    <row r="95" spans="1:10" s="4" customFormat="1" ht="13.15" customHeight="1" x14ac:dyDescent="0.2">
      <c r="A95" s="126" t="s">
        <v>104</v>
      </c>
      <c r="B95" s="126"/>
      <c r="C95" s="21">
        <v>2642</v>
      </c>
      <c r="D95" s="23" t="s">
        <v>103</v>
      </c>
      <c r="E95" s="21"/>
      <c r="F95" s="22">
        <f>30000+294220.46</f>
        <v>324220.46000000002</v>
      </c>
      <c r="G95" s="22">
        <v>290000</v>
      </c>
      <c r="H95" s="22">
        <v>290000</v>
      </c>
      <c r="I95" s="22"/>
      <c r="J95" s="4">
        <f>48206.02+36833.16</f>
        <v>85039.18</v>
      </c>
    </row>
    <row r="96" spans="1:10" s="4" customFormat="1" ht="15" customHeight="1" x14ac:dyDescent="0.2">
      <c r="A96" s="144" t="s">
        <v>105</v>
      </c>
      <c r="B96" s="145"/>
      <c r="C96" s="24">
        <v>2643</v>
      </c>
      <c r="D96" s="23" t="s">
        <v>103</v>
      </c>
      <c r="E96" s="21"/>
      <c r="F96" s="22">
        <f>46000+263319.7+52050+140000+10000-52050</f>
        <v>459319.7</v>
      </c>
      <c r="G96" s="22">
        <f>273209.72+50000</f>
        <v>323209.71999999997</v>
      </c>
      <c r="H96" s="22">
        <f>273209.72+50000</f>
        <v>323209.71999999997</v>
      </c>
      <c r="I96" s="22"/>
    </row>
    <row r="97" spans="1:9" s="4" customFormat="1" ht="14.45" customHeight="1" x14ac:dyDescent="0.2">
      <c r="A97" s="126" t="s">
        <v>106</v>
      </c>
      <c r="B97" s="126"/>
      <c r="C97" s="21">
        <v>2644</v>
      </c>
      <c r="D97" s="23" t="s">
        <v>103</v>
      </c>
      <c r="E97" s="21"/>
      <c r="F97" s="22">
        <f>511600+598400+1549183+6132069.99+45350+22330.32+8036+236850+204782.5+10000-7111.25+64080</f>
        <v>9375570.5600000005</v>
      </c>
      <c r="G97" s="22">
        <f>535232.88+1799245.32+205000+8792949.77+45350+25100+11600+236850+18223.07</f>
        <v>11669551.039999999</v>
      </c>
      <c r="H97" s="22">
        <f>535232.88+1799245.32+205000+45350+22330.32+8036+236850+8541399.36</f>
        <v>11393443.879999999</v>
      </c>
      <c r="I97" s="22"/>
    </row>
    <row r="98" spans="1:9" s="4" customFormat="1" ht="16.149999999999999" customHeight="1" x14ac:dyDescent="0.2">
      <c r="A98" s="126" t="s">
        <v>107</v>
      </c>
      <c r="B98" s="126"/>
      <c r="C98" s="24">
        <v>2645</v>
      </c>
      <c r="D98" s="23" t="s">
        <v>103</v>
      </c>
      <c r="E98" s="21"/>
      <c r="F98" s="22">
        <f>1498868.94+1857200+10000+100000+50000-12476.25</f>
        <v>3503592.69</v>
      </c>
      <c r="G98" s="22">
        <f>1857200+1500000</f>
        <v>3357200</v>
      </c>
      <c r="H98" s="22">
        <f>1857200+1500000</f>
        <v>3357200</v>
      </c>
      <c r="I98" s="22"/>
    </row>
    <row r="99" spans="1:9" s="4" customFormat="1" ht="13.9" customHeight="1" x14ac:dyDescent="0.2">
      <c r="A99" s="126" t="s">
        <v>108</v>
      </c>
      <c r="B99" s="126"/>
      <c r="C99" s="24">
        <v>2646</v>
      </c>
      <c r="D99" s="23" t="s">
        <v>103</v>
      </c>
      <c r="E99" s="21"/>
      <c r="F99" s="22">
        <f>6913.45+489716.65+610000+22000+25000+60000+62000+7111.25+12476.25+44100-610000</f>
        <v>729317.60000000009</v>
      </c>
      <c r="G99" s="22">
        <f>20665.48+62000+654400+300000+22000+25000-106100</f>
        <v>977965.48</v>
      </c>
      <c r="H99" s="22">
        <f>20665.48+62000+654400+300000+22000+25000-128613.52</f>
        <v>955451.96</v>
      </c>
      <c r="I99" s="22"/>
    </row>
    <row r="100" spans="1:9" s="4" customFormat="1" ht="10.15" customHeight="1" x14ac:dyDescent="0.2">
      <c r="A100" s="139"/>
      <c r="B100" s="140"/>
      <c r="C100" s="24"/>
      <c r="D100" s="23"/>
      <c r="E100" s="21"/>
      <c r="F100" s="22"/>
      <c r="G100" s="22"/>
      <c r="H100" s="22"/>
      <c r="I100" s="22"/>
    </row>
    <row r="101" spans="1:9" s="76" customFormat="1" ht="17.45" customHeight="1" x14ac:dyDescent="0.2">
      <c r="A101" s="142" t="s">
        <v>211</v>
      </c>
      <c r="B101" s="143" t="s">
        <v>211</v>
      </c>
      <c r="C101" s="74">
        <v>2650</v>
      </c>
      <c r="D101" s="75" t="s">
        <v>212</v>
      </c>
      <c r="E101" s="25"/>
      <c r="F101" s="77">
        <f>F103</f>
        <v>2557722.66</v>
      </c>
      <c r="G101" s="77">
        <f>G103</f>
        <v>2351188</v>
      </c>
      <c r="H101" s="77">
        <f>H103</f>
        <v>2351188</v>
      </c>
      <c r="I101" s="26"/>
    </row>
    <row r="102" spans="1:9" s="4" customFormat="1" ht="17.45" customHeight="1" x14ac:dyDescent="0.2">
      <c r="A102" s="144" t="s">
        <v>50</v>
      </c>
      <c r="B102" s="145" t="s">
        <v>50</v>
      </c>
      <c r="C102" s="24"/>
      <c r="D102" s="23"/>
      <c r="E102" s="21"/>
      <c r="F102" s="22"/>
      <c r="G102" s="22"/>
      <c r="H102" s="22"/>
      <c r="I102" s="22"/>
    </row>
    <row r="103" spans="1:9" s="4" customFormat="1" ht="17.45" customHeight="1" x14ac:dyDescent="0.2">
      <c r="A103" s="144" t="s">
        <v>104</v>
      </c>
      <c r="B103" s="145" t="s">
        <v>104</v>
      </c>
      <c r="C103" s="24">
        <v>2651</v>
      </c>
      <c r="D103" s="23" t="s">
        <v>212</v>
      </c>
      <c r="E103" s="21"/>
      <c r="F103" s="22">
        <f>400439.67+2157282.99</f>
        <v>2557722.66</v>
      </c>
      <c r="G103" s="22">
        <v>2351188</v>
      </c>
      <c r="H103" s="22">
        <v>2351188</v>
      </c>
      <c r="I103" s="22"/>
    </row>
    <row r="104" spans="1:9" s="4" customFormat="1" ht="21.6" customHeight="1" x14ac:dyDescent="0.2">
      <c r="A104" s="139" t="s">
        <v>109</v>
      </c>
      <c r="B104" s="140"/>
      <c r="C104" s="21">
        <v>2650</v>
      </c>
      <c r="D104" s="21">
        <v>400</v>
      </c>
      <c r="E104" s="21"/>
      <c r="F104" s="22">
        <f>F105+F106</f>
        <v>0</v>
      </c>
      <c r="G104" s="22">
        <f>G105+G106</f>
        <v>0</v>
      </c>
      <c r="H104" s="22">
        <f>H105+H106</f>
        <v>0</v>
      </c>
      <c r="I104" s="22">
        <f>I105+I106</f>
        <v>0</v>
      </c>
    </row>
    <row r="105" spans="1:9" s="4" customFormat="1" ht="37.9" customHeight="1" x14ac:dyDescent="0.2">
      <c r="A105" s="139" t="s">
        <v>110</v>
      </c>
      <c r="B105" s="140"/>
      <c r="C105" s="21">
        <v>2651</v>
      </c>
      <c r="D105" s="21">
        <v>406</v>
      </c>
      <c r="E105" s="21"/>
      <c r="F105" s="22"/>
      <c r="G105" s="22"/>
      <c r="H105" s="22"/>
      <c r="I105" s="22"/>
    </row>
    <row r="106" spans="1:9" s="4" customFormat="1" ht="30" customHeight="1" x14ac:dyDescent="0.2">
      <c r="A106" s="139" t="s">
        <v>111</v>
      </c>
      <c r="B106" s="140"/>
      <c r="C106" s="21">
        <v>2652</v>
      </c>
      <c r="D106" s="21">
        <v>407</v>
      </c>
      <c r="E106" s="21"/>
      <c r="F106" s="22"/>
      <c r="G106" s="22"/>
      <c r="H106" s="22"/>
      <c r="I106" s="22"/>
    </row>
    <row r="107" spans="1:9" s="4" customFormat="1" ht="15" customHeight="1" x14ac:dyDescent="0.2">
      <c r="A107" s="141" t="s">
        <v>112</v>
      </c>
      <c r="B107" s="141"/>
      <c r="C107" s="25">
        <v>3000</v>
      </c>
      <c r="D107" s="25">
        <v>100</v>
      </c>
      <c r="E107" s="21"/>
      <c r="F107" s="45">
        <f>SUM(F108:F110)</f>
        <v>0</v>
      </c>
      <c r="G107" s="45">
        <f>SUM(G108:G110)</f>
        <v>0</v>
      </c>
      <c r="H107" s="45">
        <f>SUM(H108:H110)</f>
        <v>0</v>
      </c>
      <c r="I107" s="26" t="s">
        <v>25</v>
      </c>
    </row>
    <row r="108" spans="1:9" s="4" customFormat="1" ht="26.25" customHeight="1" x14ac:dyDescent="0.2">
      <c r="A108" s="126" t="s">
        <v>113</v>
      </c>
      <c r="B108" s="126"/>
      <c r="C108" s="21">
        <v>3010</v>
      </c>
      <c r="D108" s="21"/>
      <c r="E108" s="25"/>
      <c r="F108" s="22"/>
      <c r="G108" s="22"/>
      <c r="H108" s="22"/>
      <c r="I108" s="22" t="s">
        <v>25</v>
      </c>
    </row>
    <row r="109" spans="1:9" s="4" customFormat="1" ht="15" customHeight="1" x14ac:dyDescent="0.2">
      <c r="A109" s="126" t="s">
        <v>114</v>
      </c>
      <c r="B109" s="126"/>
      <c r="C109" s="21">
        <v>3020</v>
      </c>
      <c r="D109" s="21"/>
      <c r="E109" s="21"/>
      <c r="F109" s="22"/>
      <c r="G109" s="22"/>
      <c r="H109" s="22"/>
      <c r="I109" s="22" t="s">
        <v>25</v>
      </c>
    </row>
    <row r="110" spans="1:9" s="4" customFormat="1" ht="15" customHeight="1" x14ac:dyDescent="0.2">
      <c r="A110" s="126" t="s">
        <v>115</v>
      </c>
      <c r="B110" s="126"/>
      <c r="C110" s="21">
        <v>3030</v>
      </c>
      <c r="D110" s="21"/>
      <c r="E110" s="21"/>
      <c r="F110" s="22"/>
      <c r="G110" s="22"/>
      <c r="H110" s="22"/>
      <c r="I110" s="22" t="s">
        <v>25</v>
      </c>
    </row>
    <row r="111" spans="1:9" s="4" customFormat="1" ht="15" customHeight="1" x14ac:dyDescent="0.2">
      <c r="A111" s="141" t="s">
        <v>116</v>
      </c>
      <c r="B111" s="141"/>
      <c r="C111" s="25">
        <v>4000</v>
      </c>
      <c r="D111" s="25" t="s">
        <v>25</v>
      </c>
      <c r="E111" s="21"/>
      <c r="F111" s="45">
        <f>F112</f>
        <v>472086.57</v>
      </c>
      <c r="G111" s="26">
        <f>G112</f>
        <v>0</v>
      </c>
      <c r="H111" s="26">
        <f>H112</f>
        <v>0</v>
      </c>
      <c r="I111" s="26" t="s">
        <v>25</v>
      </c>
    </row>
    <row r="112" spans="1:9" s="4" customFormat="1" ht="25.5" customHeight="1" x14ac:dyDescent="0.2">
      <c r="A112" s="126" t="s">
        <v>117</v>
      </c>
      <c r="B112" s="126"/>
      <c r="C112" s="21">
        <v>4010</v>
      </c>
      <c r="D112" s="21">
        <v>610</v>
      </c>
      <c r="E112" s="25"/>
      <c r="F112" s="22">
        <f>378548.25+72228.32+21310</f>
        <v>472086.57</v>
      </c>
      <c r="G112" s="22"/>
      <c r="H112" s="22"/>
      <c r="I112" s="22" t="s">
        <v>25</v>
      </c>
    </row>
    <row r="113" spans="1:12" s="4" customFormat="1" ht="9.6" customHeight="1" x14ac:dyDescent="0.2">
      <c r="A113" s="27"/>
      <c r="B113" s="28"/>
      <c r="C113" s="29"/>
      <c r="D113" s="29"/>
      <c r="E113" s="30"/>
      <c r="F113" s="31"/>
      <c r="G113" s="31"/>
      <c r="H113" s="31"/>
      <c r="I113" s="31"/>
    </row>
    <row r="114" spans="1:12" x14ac:dyDescent="0.25">
      <c r="A114" s="127" t="s">
        <v>118</v>
      </c>
      <c r="B114" s="127"/>
      <c r="C114" s="127"/>
      <c r="D114" s="127"/>
      <c r="E114" s="127"/>
      <c r="F114" s="127"/>
      <c r="G114" s="127"/>
      <c r="H114" s="127"/>
      <c r="I114" s="32"/>
    </row>
    <row r="115" spans="1:12" ht="7.9" customHeight="1" x14ac:dyDescent="0.25">
      <c r="A115" s="33"/>
      <c r="B115" s="32"/>
      <c r="C115" s="34"/>
      <c r="D115" s="34"/>
      <c r="E115" s="34"/>
      <c r="F115" s="34"/>
      <c r="G115" s="34"/>
      <c r="H115" s="34"/>
      <c r="I115" s="32"/>
    </row>
    <row r="116" spans="1:12" ht="15.6" customHeight="1" x14ac:dyDescent="0.25">
      <c r="A116" s="128" t="s">
        <v>119</v>
      </c>
      <c r="B116" s="128" t="s">
        <v>12</v>
      </c>
      <c r="C116" s="128" t="s">
        <v>120</v>
      </c>
      <c r="D116" s="128" t="s">
        <v>121</v>
      </c>
      <c r="E116" s="131" t="s">
        <v>14</v>
      </c>
      <c r="F116" s="134" t="s">
        <v>16</v>
      </c>
      <c r="G116" s="135"/>
      <c r="H116" s="135"/>
      <c r="I116" s="136"/>
    </row>
    <row r="117" spans="1:12" ht="19.899999999999999" customHeight="1" x14ac:dyDescent="0.25">
      <c r="A117" s="129"/>
      <c r="B117" s="129"/>
      <c r="C117" s="129"/>
      <c r="D117" s="129"/>
      <c r="E117" s="132"/>
      <c r="F117" s="11" t="s">
        <v>17</v>
      </c>
      <c r="G117" s="11" t="s">
        <v>18</v>
      </c>
      <c r="H117" s="11" t="s">
        <v>218</v>
      </c>
      <c r="I117" s="137" t="s">
        <v>19</v>
      </c>
    </row>
    <row r="118" spans="1:12" ht="36.6" customHeight="1" x14ac:dyDescent="0.25">
      <c r="A118" s="130"/>
      <c r="B118" s="130"/>
      <c r="C118" s="130"/>
      <c r="D118" s="130"/>
      <c r="E118" s="133"/>
      <c r="F118" s="11" t="s">
        <v>20</v>
      </c>
      <c r="G118" s="11" t="s">
        <v>21</v>
      </c>
      <c r="H118" s="11" t="s">
        <v>22</v>
      </c>
      <c r="I118" s="138"/>
    </row>
    <row r="119" spans="1:12" ht="14.45" customHeight="1" x14ac:dyDescent="0.25">
      <c r="A119" s="19">
        <v>1</v>
      </c>
      <c r="B119" s="11">
        <v>2</v>
      </c>
      <c r="C119" s="11">
        <v>3</v>
      </c>
      <c r="D119" s="11">
        <v>4</v>
      </c>
      <c r="E119" s="12" t="s">
        <v>122</v>
      </c>
      <c r="F119" s="11">
        <v>5</v>
      </c>
      <c r="G119" s="11">
        <v>6</v>
      </c>
      <c r="H119" s="11">
        <v>7</v>
      </c>
      <c r="I119" s="11">
        <v>8</v>
      </c>
    </row>
    <row r="120" spans="1:12" ht="21" customHeight="1" x14ac:dyDescent="0.25">
      <c r="A120" s="19">
        <v>1</v>
      </c>
      <c r="B120" s="35" t="s">
        <v>123</v>
      </c>
      <c r="C120" s="25">
        <v>26000</v>
      </c>
      <c r="D120" s="25" t="s">
        <v>25</v>
      </c>
      <c r="E120" s="10" t="s">
        <v>25</v>
      </c>
      <c r="F120" s="45">
        <f>F121+F122+F123+F127</f>
        <v>17185582.68</v>
      </c>
      <c r="G120" s="45">
        <f>G121+G122+G123+G127</f>
        <v>19203604.689999998</v>
      </c>
      <c r="H120" s="45">
        <f>H121+H122+H123+H127</f>
        <v>18904984.009999998</v>
      </c>
      <c r="I120" s="26">
        <f>I121+I122+I123+I127</f>
        <v>0</v>
      </c>
      <c r="J120" s="2" t="s">
        <v>190</v>
      </c>
    </row>
    <row r="121" spans="1:12" ht="145.15" customHeight="1" x14ac:dyDescent="0.25">
      <c r="A121" s="36" t="s">
        <v>124</v>
      </c>
      <c r="B121" s="37" t="s">
        <v>125</v>
      </c>
      <c r="C121" s="38">
        <v>26100</v>
      </c>
      <c r="D121" s="21" t="s">
        <v>25</v>
      </c>
      <c r="E121" s="10" t="s">
        <v>25</v>
      </c>
      <c r="F121" s="22"/>
      <c r="G121" s="22"/>
      <c r="H121" s="22"/>
      <c r="I121" s="22"/>
      <c r="J121" s="2" t="s">
        <v>193</v>
      </c>
    </row>
    <row r="122" spans="1:12" ht="40.9" customHeight="1" x14ac:dyDescent="0.25">
      <c r="A122" s="36" t="s">
        <v>126</v>
      </c>
      <c r="B122" s="37" t="s">
        <v>127</v>
      </c>
      <c r="C122" s="38">
        <v>26200</v>
      </c>
      <c r="D122" s="21" t="s">
        <v>25</v>
      </c>
      <c r="E122" s="10" t="s">
        <v>25</v>
      </c>
      <c r="F122" s="22"/>
      <c r="G122" s="22"/>
      <c r="H122" s="22"/>
      <c r="I122" s="22"/>
    </row>
    <row r="123" spans="1:12" ht="39" customHeight="1" x14ac:dyDescent="0.25">
      <c r="A123" s="36" t="s">
        <v>128</v>
      </c>
      <c r="B123" s="37" t="s">
        <v>129</v>
      </c>
      <c r="C123" s="38">
        <v>26300</v>
      </c>
      <c r="D123" s="21" t="s">
        <v>25</v>
      </c>
      <c r="E123" s="10" t="s">
        <v>25</v>
      </c>
      <c r="F123" s="22">
        <v>4552108.6100000003</v>
      </c>
      <c r="G123" s="22">
        <v>0</v>
      </c>
      <c r="H123" s="22">
        <v>0</v>
      </c>
      <c r="I123" s="22"/>
      <c r="J123" s="2" t="s">
        <v>182</v>
      </c>
    </row>
    <row r="124" spans="1:12" ht="14.45" customHeight="1" x14ac:dyDescent="0.25">
      <c r="A124" s="39" t="s">
        <v>130</v>
      </c>
      <c r="B124" s="37" t="s">
        <v>131</v>
      </c>
      <c r="C124" s="38">
        <v>26310</v>
      </c>
      <c r="D124" s="21" t="s">
        <v>25</v>
      </c>
      <c r="E124" s="40" t="s">
        <v>25</v>
      </c>
      <c r="F124" s="44">
        <f>F123</f>
        <v>4552108.6100000003</v>
      </c>
      <c r="G124" s="22"/>
      <c r="H124" s="22"/>
      <c r="I124" s="22"/>
    </row>
    <row r="125" spans="1:12" x14ac:dyDescent="0.25">
      <c r="A125" s="39"/>
      <c r="B125" s="37" t="s">
        <v>191</v>
      </c>
      <c r="C125" s="38" t="s">
        <v>132</v>
      </c>
      <c r="D125" s="21" t="s">
        <v>25</v>
      </c>
      <c r="E125" s="10">
        <v>150</v>
      </c>
      <c r="F125" s="22">
        <v>45350</v>
      </c>
      <c r="G125" s="22"/>
      <c r="H125" s="22"/>
      <c r="I125" s="22"/>
      <c r="J125" s="53">
        <v>6130</v>
      </c>
      <c r="K125" s="53"/>
    </row>
    <row r="126" spans="1:12" ht="15.6" customHeight="1" x14ac:dyDescent="0.25">
      <c r="A126" s="39" t="s">
        <v>133</v>
      </c>
      <c r="B126" s="37" t="s">
        <v>134</v>
      </c>
      <c r="C126" s="38">
        <v>26320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12" ht="39.6" customHeight="1" x14ac:dyDescent="0.25">
      <c r="A127" s="36" t="s">
        <v>135</v>
      </c>
      <c r="B127" s="37" t="s">
        <v>136</v>
      </c>
      <c r="C127" s="38">
        <v>26400</v>
      </c>
      <c r="D127" s="21" t="s">
        <v>25</v>
      </c>
      <c r="E127" s="10" t="s">
        <v>25</v>
      </c>
      <c r="F127" s="44">
        <f>F128+F131+F138+F140+F143</f>
        <v>12633474.07</v>
      </c>
      <c r="G127" s="44">
        <f>G128+G131+G138+G140+G143</f>
        <v>19203604.689999998</v>
      </c>
      <c r="H127" s="44">
        <f>H128+H131+H138+H140+H143</f>
        <v>18904984.009999998</v>
      </c>
      <c r="I127" s="22">
        <f>I128+I131+I138+I140+I143</f>
        <v>0</v>
      </c>
      <c r="J127" s="50" t="s">
        <v>186</v>
      </c>
      <c r="K127" s="6"/>
      <c r="L127" s="6"/>
    </row>
    <row r="128" spans="1:12" ht="38.450000000000003" customHeight="1" x14ac:dyDescent="0.25">
      <c r="A128" s="39" t="s">
        <v>137</v>
      </c>
      <c r="B128" s="37" t="s">
        <v>138</v>
      </c>
      <c r="C128" s="38">
        <v>26410</v>
      </c>
      <c r="D128" s="21" t="s">
        <v>25</v>
      </c>
      <c r="E128" s="10" t="s">
        <v>25</v>
      </c>
      <c r="F128" s="44">
        <f>F129+F130</f>
        <v>2392018.8200000003</v>
      </c>
      <c r="G128" s="44">
        <f>G129+G130</f>
        <v>6583666.3699999973</v>
      </c>
      <c r="H128" s="44">
        <f>H129+H130</f>
        <v>6561152.8499999996</v>
      </c>
      <c r="I128" s="22">
        <f>I129+I130</f>
        <v>0</v>
      </c>
      <c r="J128" s="2" t="s">
        <v>185</v>
      </c>
      <c r="K128" s="2" t="s">
        <v>188</v>
      </c>
    </row>
    <row r="129" spans="1:12" ht="26.25" x14ac:dyDescent="0.25">
      <c r="A129" s="39" t="s">
        <v>139</v>
      </c>
      <c r="B129" s="37" t="s">
        <v>140</v>
      </c>
      <c r="C129" s="38">
        <v>26411</v>
      </c>
      <c r="D129" s="21" t="s">
        <v>25</v>
      </c>
      <c r="E129" s="10" t="s">
        <v>25</v>
      </c>
      <c r="F129" s="44">
        <f>F89-F123-F131-F143-F121</f>
        <v>2392018.8200000003</v>
      </c>
      <c r="G129" s="44">
        <f>G89-G123-G131-G143</f>
        <v>6583666.3699999973</v>
      </c>
      <c r="H129" s="44">
        <f>H89-H123-H131-H143</f>
        <v>6561152.8499999996</v>
      </c>
      <c r="I129" s="22"/>
      <c r="J129" s="2" t="s">
        <v>183</v>
      </c>
    </row>
    <row r="130" spans="1:12" ht="19.899999999999999" customHeight="1" x14ac:dyDescent="0.25">
      <c r="A130" s="39" t="s">
        <v>141</v>
      </c>
      <c r="B130" s="37" t="s">
        <v>142</v>
      </c>
      <c r="C130" s="21">
        <v>26412</v>
      </c>
      <c r="D130" s="21" t="s">
        <v>25</v>
      </c>
      <c r="E130" s="10" t="s">
        <v>25</v>
      </c>
      <c r="F130" s="22"/>
      <c r="G130" s="22"/>
      <c r="H130" s="22"/>
      <c r="I130" s="22"/>
    </row>
    <row r="131" spans="1:12" ht="28.9" customHeight="1" x14ac:dyDescent="0.25">
      <c r="A131" s="39" t="s">
        <v>143</v>
      </c>
      <c r="B131" s="37" t="s">
        <v>144</v>
      </c>
      <c r="C131" s="38">
        <v>26420</v>
      </c>
      <c r="D131" s="21" t="s">
        <v>25</v>
      </c>
      <c r="E131" s="10" t="s">
        <v>25</v>
      </c>
      <c r="F131" s="44">
        <f>F132+F137</f>
        <v>10049455.25</v>
      </c>
      <c r="G131" s="44">
        <f>G132+G137</f>
        <v>12537272.84</v>
      </c>
      <c r="H131" s="44">
        <f>H132+H137</f>
        <v>12261165.679999998</v>
      </c>
      <c r="I131" s="22">
        <f>I132+I137</f>
        <v>0</v>
      </c>
      <c r="J131" s="2" t="s">
        <v>189</v>
      </c>
    </row>
    <row r="132" spans="1:12" ht="26.45" customHeight="1" x14ac:dyDescent="0.25">
      <c r="A132" s="39" t="s">
        <v>145</v>
      </c>
      <c r="B132" s="37" t="s">
        <v>140</v>
      </c>
      <c r="C132" s="38">
        <v>26421</v>
      </c>
      <c r="D132" s="21" t="s">
        <v>25</v>
      </c>
      <c r="E132" s="10" t="s">
        <v>25</v>
      </c>
      <c r="F132" s="82">
        <f>F35-76804.92-23195.08-F50-F125</f>
        <v>10049455.25</v>
      </c>
      <c r="G132" s="44">
        <f>G35-76804.92-23195.08-G50</f>
        <v>12537272.84</v>
      </c>
      <c r="H132" s="44">
        <f>H35-76804.92-23195.08-H50</f>
        <v>12261165.679999998</v>
      </c>
      <c r="I132" s="22"/>
      <c r="J132" s="2" t="s">
        <v>213</v>
      </c>
    </row>
    <row r="133" spans="1:12" ht="15.6" customHeight="1" x14ac:dyDescent="0.25">
      <c r="A133" s="39"/>
      <c r="B133" s="37" t="s">
        <v>146</v>
      </c>
      <c r="C133" s="38" t="s">
        <v>147</v>
      </c>
      <c r="D133" s="21" t="s">
        <v>25</v>
      </c>
      <c r="E133" s="10">
        <v>150</v>
      </c>
      <c r="F133" s="44">
        <f>F132-F134-F135-F136</f>
        <v>3917385.26</v>
      </c>
      <c r="G133" s="44">
        <f>G132-G134-G135-G136</f>
        <v>3744323.0699999994</v>
      </c>
      <c r="H133" s="44">
        <f>H132-H134-H135-H136</f>
        <v>3719766.319999998</v>
      </c>
      <c r="I133" s="22"/>
    </row>
    <row r="134" spans="1:12" ht="55.15" customHeight="1" x14ac:dyDescent="0.25">
      <c r="A134" s="39"/>
      <c r="B134" s="37" t="s">
        <v>198</v>
      </c>
      <c r="C134" s="38" t="s">
        <v>225</v>
      </c>
      <c r="D134" s="21" t="s">
        <v>25</v>
      </c>
      <c r="E134" s="10" t="s">
        <v>197</v>
      </c>
      <c r="F134" s="44">
        <f>F47</f>
        <v>4520564.6500000004</v>
      </c>
      <c r="G134" s="44">
        <v>6481945.7000000002</v>
      </c>
      <c r="H134" s="44">
        <f>H47</f>
        <v>6482395.7000000002</v>
      </c>
      <c r="I134" s="22"/>
    </row>
    <row r="135" spans="1:12" ht="59.45" customHeight="1" x14ac:dyDescent="0.25">
      <c r="A135" s="39"/>
      <c r="B135" s="37" t="s">
        <v>199</v>
      </c>
      <c r="C135" s="38" t="s">
        <v>226</v>
      </c>
      <c r="D135" s="21" t="s">
        <v>25</v>
      </c>
      <c r="E135" s="10" t="s">
        <v>197</v>
      </c>
      <c r="F135" s="44">
        <f>F48</f>
        <v>1427543.13</v>
      </c>
      <c r="G135" s="44">
        <v>2046995.37</v>
      </c>
      <c r="H135" s="44">
        <f>H48</f>
        <v>1802579.38</v>
      </c>
      <c r="I135" s="22"/>
    </row>
    <row r="136" spans="1:12" ht="53.45" customHeight="1" x14ac:dyDescent="0.25">
      <c r="A136" s="39"/>
      <c r="B136" s="37" t="s">
        <v>200</v>
      </c>
      <c r="C136" s="38" t="s">
        <v>194</v>
      </c>
      <c r="D136" s="21" t="s">
        <v>25</v>
      </c>
      <c r="E136" s="10" t="s">
        <v>197</v>
      </c>
      <c r="F136" s="44">
        <f>F49</f>
        <v>183962.21</v>
      </c>
      <c r="G136" s="44">
        <v>264008.7</v>
      </c>
      <c r="H136" s="44">
        <f>H49</f>
        <v>256424.28</v>
      </c>
      <c r="I136" s="22"/>
    </row>
    <row r="137" spans="1:12" ht="19.899999999999999" customHeight="1" x14ac:dyDescent="0.25">
      <c r="A137" s="39" t="s">
        <v>148</v>
      </c>
      <c r="B137" s="37" t="s">
        <v>142</v>
      </c>
      <c r="C137" s="38">
        <v>26422</v>
      </c>
      <c r="D137" s="21" t="s">
        <v>25</v>
      </c>
      <c r="E137" s="10" t="s">
        <v>25</v>
      </c>
      <c r="F137" s="22"/>
      <c r="G137" s="22"/>
      <c r="H137" s="22"/>
      <c r="I137" s="22"/>
    </row>
    <row r="138" spans="1:12" ht="18.600000000000001" customHeight="1" x14ac:dyDescent="0.25">
      <c r="A138" s="39" t="s">
        <v>149</v>
      </c>
      <c r="B138" s="37" t="s">
        <v>150</v>
      </c>
      <c r="C138" s="38">
        <v>26430</v>
      </c>
      <c r="D138" s="21" t="s">
        <v>25</v>
      </c>
      <c r="E138" s="10" t="s">
        <v>25</v>
      </c>
      <c r="F138" s="22"/>
      <c r="G138" s="22"/>
      <c r="H138" s="22"/>
      <c r="I138" s="22"/>
      <c r="L138" s="51">
        <f>F128+F131+F143</f>
        <v>12633474.07</v>
      </c>
    </row>
    <row r="139" spans="1:12" ht="16.899999999999999" customHeight="1" x14ac:dyDescent="0.25">
      <c r="A139" s="39"/>
      <c r="B139" s="37" t="s">
        <v>146</v>
      </c>
      <c r="C139" s="38" t="s">
        <v>151</v>
      </c>
      <c r="D139" s="21" t="s">
        <v>25</v>
      </c>
      <c r="E139" s="10"/>
      <c r="F139" s="22"/>
      <c r="G139" s="22"/>
      <c r="H139" s="22"/>
      <c r="I139" s="22"/>
    </row>
    <row r="140" spans="1:12" ht="19.149999999999999" customHeight="1" x14ac:dyDescent="0.25">
      <c r="A140" s="39" t="s">
        <v>152</v>
      </c>
      <c r="B140" s="37" t="s">
        <v>153</v>
      </c>
      <c r="C140" s="38">
        <v>26440</v>
      </c>
      <c r="D140" s="21" t="s">
        <v>25</v>
      </c>
      <c r="E140" s="10" t="s">
        <v>25</v>
      </c>
      <c r="F140" s="44">
        <f>F141+F142</f>
        <v>0</v>
      </c>
      <c r="G140" s="44">
        <f>G141+G142</f>
        <v>0</v>
      </c>
      <c r="H140" s="44">
        <f>H141+H142</f>
        <v>0</v>
      </c>
      <c r="I140" s="22">
        <f>I141+I142</f>
        <v>0</v>
      </c>
    </row>
    <row r="141" spans="1:12" ht="27.6" customHeight="1" x14ac:dyDescent="0.25">
      <c r="A141" s="39" t="s">
        <v>154</v>
      </c>
      <c r="B141" s="37" t="s">
        <v>140</v>
      </c>
      <c r="C141" s="38">
        <v>26441</v>
      </c>
      <c r="D141" s="21" t="s">
        <v>25</v>
      </c>
      <c r="E141" s="10" t="s">
        <v>25</v>
      </c>
      <c r="F141" s="22"/>
      <c r="G141" s="22"/>
      <c r="H141" s="22"/>
      <c r="I141" s="22"/>
    </row>
    <row r="142" spans="1:12" ht="19.149999999999999" customHeight="1" x14ac:dyDescent="0.25">
      <c r="A142" s="41" t="s">
        <v>155</v>
      </c>
      <c r="B142" s="37" t="s">
        <v>142</v>
      </c>
      <c r="C142" s="38">
        <v>26442</v>
      </c>
      <c r="D142" s="21" t="s">
        <v>25</v>
      </c>
      <c r="E142" s="10" t="s">
        <v>25</v>
      </c>
      <c r="F142" s="22"/>
      <c r="G142" s="22"/>
      <c r="H142" s="22"/>
      <c r="I142" s="22"/>
    </row>
    <row r="143" spans="1:12" ht="19.899999999999999" customHeight="1" x14ac:dyDescent="0.25">
      <c r="A143" s="41" t="s">
        <v>156</v>
      </c>
      <c r="B143" s="37" t="s">
        <v>157</v>
      </c>
      <c r="C143" s="38">
        <v>26450</v>
      </c>
      <c r="D143" s="21" t="s">
        <v>25</v>
      </c>
      <c r="E143" s="10" t="s">
        <v>25</v>
      </c>
      <c r="F143" s="44">
        <f>F144+F146</f>
        <v>192000</v>
      </c>
      <c r="G143" s="44">
        <f>G144+G146</f>
        <v>82665.48</v>
      </c>
      <c r="H143" s="44">
        <f>H144+H146</f>
        <v>82665.48</v>
      </c>
      <c r="I143" s="22">
        <f>I144+I146</f>
        <v>0</v>
      </c>
      <c r="J143" s="2" t="s">
        <v>187</v>
      </c>
    </row>
    <row r="144" spans="1:12" ht="26.25" x14ac:dyDescent="0.25">
      <c r="A144" s="41" t="s">
        <v>158</v>
      </c>
      <c r="B144" s="37" t="s">
        <v>140</v>
      </c>
      <c r="C144" s="38">
        <v>26451</v>
      </c>
      <c r="D144" s="21" t="s">
        <v>25</v>
      </c>
      <c r="E144" s="10" t="s">
        <v>25</v>
      </c>
      <c r="F144" s="48">
        <f>10000+10000+50000+60000+62000</f>
        <v>192000</v>
      </c>
      <c r="G144" s="48">
        <f>20665.48+62000</f>
        <v>82665.48</v>
      </c>
      <c r="H144" s="48">
        <f>20665.48+62000</f>
        <v>82665.48</v>
      </c>
      <c r="I144" s="22"/>
      <c r="J144" s="2" t="s">
        <v>184</v>
      </c>
    </row>
    <row r="145" spans="1:10" ht="19.149999999999999" customHeight="1" x14ac:dyDescent="0.25">
      <c r="A145" s="41"/>
      <c r="B145" s="37" t="s">
        <v>146</v>
      </c>
      <c r="C145" s="38" t="s">
        <v>159</v>
      </c>
      <c r="D145" s="21" t="s">
        <v>25</v>
      </c>
      <c r="E145" s="10">
        <v>150</v>
      </c>
      <c r="F145" s="49"/>
      <c r="G145" s="22"/>
      <c r="H145" s="22"/>
      <c r="I145" s="22"/>
      <c r="J145" s="53">
        <v>2130</v>
      </c>
    </row>
    <row r="146" spans="1:10" ht="19.899999999999999" customHeight="1" x14ac:dyDescent="0.25">
      <c r="A146" s="41" t="s">
        <v>160</v>
      </c>
      <c r="B146" s="37" t="s">
        <v>142</v>
      </c>
      <c r="C146" s="38">
        <v>26452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42.6" customHeight="1" x14ac:dyDescent="0.25">
      <c r="A147" s="41" t="s">
        <v>161</v>
      </c>
      <c r="B147" s="37" t="s">
        <v>162</v>
      </c>
      <c r="C147" s="38">
        <v>26500</v>
      </c>
      <c r="D147" s="21" t="s">
        <v>25</v>
      </c>
      <c r="E147" s="10" t="s">
        <v>25</v>
      </c>
      <c r="F147" s="44">
        <f>F149+F150+F151</f>
        <v>12633474.07</v>
      </c>
      <c r="G147" s="44">
        <f>G149+G150+G151</f>
        <v>19203604.689999998</v>
      </c>
      <c r="H147" s="44">
        <f>H149+H150+H151</f>
        <v>18904984.009999998</v>
      </c>
      <c r="I147" s="22">
        <f>I148+I152</f>
        <v>0</v>
      </c>
    </row>
    <row r="148" spans="1:10" ht="15.6" customHeight="1" x14ac:dyDescent="0.25">
      <c r="A148" s="41"/>
      <c r="B148" s="37" t="s">
        <v>163</v>
      </c>
      <c r="C148" s="38">
        <v>26510</v>
      </c>
      <c r="D148" s="21"/>
      <c r="E148" s="10" t="s">
        <v>25</v>
      </c>
      <c r="F148" s="44"/>
      <c r="G148" s="44"/>
      <c r="H148" s="44"/>
      <c r="I148" s="22"/>
    </row>
    <row r="149" spans="1:10" ht="18.600000000000001" customHeight="1" x14ac:dyDescent="0.25">
      <c r="A149" s="41" t="s">
        <v>204</v>
      </c>
      <c r="B149" s="37"/>
      <c r="C149" s="38"/>
      <c r="D149" s="21">
        <v>2021</v>
      </c>
      <c r="E149" s="10"/>
      <c r="F149" s="44">
        <f>F127</f>
        <v>12633474.07</v>
      </c>
      <c r="G149" s="44"/>
      <c r="H149" s="44"/>
      <c r="I149" s="22"/>
    </row>
    <row r="150" spans="1:10" ht="19.899999999999999" customHeight="1" x14ac:dyDescent="0.25">
      <c r="A150" s="41" t="s">
        <v>205</v>
      </c>
      <c r="B150" s="37"/>
      <c r="C150" s="38"/>
      <c r="D150" s="21">
        <v>2022</v>
      </c>
      <c r="E150" s="10"/>
      <c r="F150" s="44"/>
      <c r="G150" s="44">
        <f>G127-G149-G151</f>
        <v>19203604.689999998</v>
      </c>
      <c r="H150" s="44"/>
      <c r="I150" s="22"/>
    </row>
    <row r="151" spans="1:10" ht="18" customHeight="1" x14ac:dyDescent="0.25">
      <c r="A151" s="41" t="s">
        <v>206</v>
      </c>
      <c r="B151" s="37"/>
      <c r="C151" s="38"/>
      <c r="D151" s="21">
        <v>2023</v>
      </c>
      <c r="E151" s="10"/>
      <c r="F151" s="44"/>
      <c r="G151" s="44"/>
      <c r="H151" s="44">
        <f>H127-H150-H149</f>
        <v>18904984.009999998</v>
      </c>
      <c r="I151" s="22"/>
    </row>
    <row r="152" spans="1:10" ht="16.899999999999999" customHeight="1" x14ac:dyDescent="0.25">
      <c r="A152" s="41"/>
      <c r="B152" s="37"/>
      <c r="C152" s="38"/>
      <c r="D152" s="21"/>
      <c r="E152" s="10" t="s">
        <v>25</v>
      </c>
      <c r="F152" s="22"/>
      <c r="G152" s="22"/>
      <c r="H152" s="22"/>
      <c r="I152" s="22"/>
    </row>
    <row r="153" spans="1:10" ht="39" x14ac:dyDescent="0.25">
      <c r="A153" s="41" t="s">
        <v>164</v>
      </c>
      <c r="B153" s="37" t="s">
        <v>165</v>
      </c>
      <c r="C153" s="38">
        <v>26600</v>
      </c>
      <c r="D153" s="21" t="s">
        <v>25</v>
      </c>
      <c r="E153" s="10" t="s">
        <v>25</v>
      </c>
      <c r="F153" s="44">
        <f>F154+F155</f>
        <v>0</v>
      </c>
      <c r="G153" s="44">
        <f>G154+G155</f>
        <v>0</v>
      </c>
      <c r="H153" s="44">
        <f>H154+H155</f>
        <v>0</v>
      </c>
      <c r="I153" s="22">
        <f>I154+I155</f>
        <v>0</v>
      </c>
    </row>
    <row r="154" spans="1:10" x14ac:dyDescent="0.25">
      <c r="A154" s="41"/>
      <c r="B154" s="37" t="s">
        <v>163</v>
      </c>
      <c r="C154" s="38">
        <v>26610</v>
      </c>
      <c r="D154" s="21"/>
      <c r="E154" s="10" t="s">
        <v>25</v>
      </c>
      <c r="F154" s="22"/>
      <c r="G154" s="22"/>
      <c r="H154" s="22"/>
      <c r="I154" s="22"/>
    </row>
    <row r="155" spans="1:10" x14ac:dyDescent="0.25">
      <c r="A155" s="41"/>
      <c r="B155" s="37"/>
      <c r="C155" s="21"/>
      <c r="D155" s="21"/>
      <c r="E155" s="10" t="s">
        <v>25</v>
      </c>
      <c r="F155" s="22"/>
      <c r="G155" s="22"/>
      <c r="H155" s="22"/>
      <c r="I155" s="22"/>
    </row>
    <row r="156" spans="1:10" x14ac:dyDescent="0.25">
      <c r="A156" s="33"/>
      <c r="B156" s="32"/>
      <c r="C156" s="34"/>
      <c r="D156" s="34"/>
      <c r="E156" s="34"/>
      <c r="F156" s="34"/>
      <c r="G156" s="34"/>
      <c r="H156" s="34"/>
      <c r="I156" s="32"/>
    </row>
    <row r="157" spans="1:10" x14ac:dyDescent="0.25">
      <c r="A157" s="63"/>
      <c r="B157" s="5"/>
      <c r="C157" s="64"/>
      <c r="D157" s="64"/>
      <c r="E157" s="64"/>
      <c r="F157" s="64"/>
      <c r="G157" s="64"/>
      <c r="H157" s="64"/>
      <c r="I157" s="5"/>
    </row>
    <row r="158" spans="1:10" x14ac:dyDescent="0.25">
      <c r="A158" s="65" t="s">
        <v>227</v>
      </c>
      <c r="D158" s="66"/>
      <c r="E158" s="55"/>
      <c r="F158" s="124" t="s">
        <v>208</v>
      </c>
      <c r="G158" s="124"/>
    </row>
    <row r="159" spans="1:10" x14ac:dyDescent="0.25">
      <c r="B159" s="1"/>
      <c r="C159" s="1"/>
      <c r="D159" s="67" t="s">
        <v>166</v>
      </c>
      <c r="F159" s="125" t="s">
        <v>167</v>
      </c>
      <c r="G159" s="125"/>
    </row>
    <row r="160" spans="1:10" x14ac:dyDescent="0.25">
      <c r="B160" s="1"/>
      <c r="C160" s="1"/>
      <c r="D160" s="1"/>
      <c r="E160" s="1"/>
      <c r="F160" s="1"/>
      <c r="G160" s="68"/>
    </row>
    <row r="161" spans="1:10" x14ac:dyDescent="0.25">
      <c r="A161" s="65"/>
      <c r="D161" s="66"/>
      <c r="E161" s="55"/>
      <c r="F161" s="124" t="s">
        <v>168</v>
      </c>
      <c r="G161" s="124"/>
    </row>
    <row r="162" spans="1:10" x14ac:dyDescent="0.25">
      <c r="A162" s="1" t="s">
        <v>169</v>
      </c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A163" s="65"/>
    </row>
    <row r="164" spans="1:10" ht="1.5" customHeight="1" x14ac:dyDescent="0.3">
      <c r="A164" s="65"/>
      <c r="H164" s="69"/>
      <c r="I164" s="69"/>
      <c r="J164"/>
    </row>
    <row r="165" spans="1:10" ht="18.75" x14ac:dyDescent="0.3">
      <c r="A165" s="70"/>
      <c r="B165" s="69"/>
      <c r="C165" s="69"/>
      <c r="H165" s="69"/>
      <c r="I165" s="69"/>
      <c r="J165"/>
    </row>
    <row r="166" spans="1:10" ht="18.75" x14ac:dyDescent="0.3">
      <c r="A166" s="70"/>
      <c r="B166" s="69"/>
      <c r="C166" s="69"/>
      <c r="D166" s="69"/>
      <c r="E166" s="69"/>
      <c r="F166" s="71"/>
      <c r="H166" s="69"/>
      <c r="I166" s="69"/>
      <c r="J166"/>
    </row>
    <row r="167" spans="1:10" ht="18.75" x14ac:dyDescent="0.3">
      <c r="A167" s="70"/>
      <c r="B167" s="69"/>
      <c r="C167" s="69"/>
      <c r="D167" s="69"/>
      <c r="E167" s="69"/>
      <c r="H167" s="69"/>
      <c r="I167" s="69"/>
      <c r="J167"/>
    </row>
    <row r="168" spans="1:10" ht="18.75" x14ac:dyDescent="0.25">
      <c r="A168" s="72" t="s">
        <v>232</v>
      </c>
      <c r="B168" s="72"/>
      <c r="C168" s="72"/>
      <c r="D168" s="72"/>
      <c r="E168" s="73"/>
      <c r="H168" s="5"/>
      <c r="I168" s="5"/>
    </row>
    <row r="169" spans="1:10" x14ac:dyDescent="0.25">
      <c r="A169" s="167" t="s">
        <v>170</v>
      </c>
      <c r="B169" s="167"/>
      <c r="C169" s="167"/>
      <c r="D169" s="167"/>
      <c r="E169" s="167"/>
      <c r="H169" s="5"/>
      <c r="I169" s="5"/>
    </row>
    <row r="170" spans="1:10" x14ac:dyDescent="0.25">
      <c r="C170" s="5"/>
      <c r="D170" s="5"/>
      <c r="E170" s="5"/>
      <c r="H170" s="5"/>
      <c r="I170" s="5"/>
    </row>
    <row r="171" spans="1:10" x14ac:dyDescent="0.25">
      <c r="H171" s="5"/>
      <c r="I171" s="5"/>
    </row>
    <row r="172" spans="1:10" x14ac:dyDescent="0.25">
      <c r="C172" s="5"/>
      <c r="D172" s="5"/>
      <c r="E172" s="5"/>
      <c r="F172" s="5"/>
      <c r="G172" s="5"/>
      <c r="H172" s="5"/>
      <c r="I172" s="5"/>
    </row>
    <row r="173" spans="1:10" x14ac:dyDescent="0.25">
      <c r="C173" s="5"/>
      <c r="D173" s="5"/>
      <c r="E173" s="5"/>
      <c r="F173" s="5"/>
      <c r="G173" s="5"/>
      <c r="H173" s="5"/>
      <c r="I173" s="5"/>
    </row>
    <row r="174" spans="1:10" x14ac:dyDescent="0.25">
      <c r="C174" s="5"/>
      <c r="D174" s="5"/>
      <c r="E174" s="5"/>
      <c r="F174" s="5"/>
      <c r="G174" s="5"/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E183" s="5"/>
    </row>
  </sheetData>
  <mergeCells count="115"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  <mergeCell ref="A24:B24"/>
    <mergeCell ref="A25:B25"/>
    <mergeCell ref="A26:B26"/>
    <mergeCell ref="A27:B27"/>
    <mergeCell ref="A28:B28"/>
    <mergeCell ref="A29:B29"/>
    <mergeCell ref="A19:B19"/>
    <mergeCell ref="A21:B23"/>
    <mergeCell ref="C21:C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9:B49"/>
    <mergeCell ref="A50:B50"/>
    <mergeCell ref="A51:B51"/>
    <mergeCell ref="A52:B52"/>
    <mergeCell ref="A53:B53"/>
    <mergeCell ref="A54:B54"/>
    <mergeCell ref="A42:B42"/>
    <mergeCell ref="A43:B43"/>
    <mergeCell ref="A44:B44"/>
    <mergeCell ref="A45:B45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69:E169"/>
    <mergeCell ref="A46:B46"/>
    <mergeCell ref="F116:I116"/>
    <mergeCell ref="I117:I118"/>
    <mergeCell ref="F158:G158"/>
    <mergeCell ref="F159:G159"/>
    <mergeCell ref="F161:G161"/>
    <mergeCell ref="F162:G162"/>
    <mergeCell ref="A109:B109"/>
    <mergeCell ref="A110:B110"/>
    <mergeCell ref="A111:B111"/>
    <mergeCell ref="A112:B112"/>
    <mergeCell ref="A114:H114"/>
    <mergeCell ref="A116:A118"/>
    <mergeCell ref="B116:B118"/>
    <mergeCell ref="C116:C118"/>
    <mergeCell ref="D116:D118"/>
    <mergeCell ref="E116:E118"/>
    <mergeCell ref="A103:B103"/>
    <mergeCell ref="A104:B104"/>
    <mergeCell ref="A105:B105"/>
    <mergeCell ref="A106:B106"/>
    <mergeCell ref="A107:B107"/>
    <mergeCell ref="A108:B108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zoomScale="85" zoomScaleNormal="85" zoomScaleSheetLayoutView="70" workbookViewId="0">
      <selection activeCell="L120" sqref="L120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3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220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221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222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11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11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11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11" ht="10.9" customHeight="1" x14ac:dyDescent="0.25">
      <c r="H20" s="57"/>
      <c r="I20" s="62"/>
    </row>
    <row r="21" spans="1:11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11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11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11" s="4" customFormat="1" ht="12.75" customHeight="1" x14ac:dyDescent="0.2">
      <c r="A24" s="149">
        <v>1</v>
      </c>
      <c r="B24" s="149"/>
      <c r="C24" s="87">
        <v>2</v>
      </c>
      <c r="D24" s="87">
        <v>3</v>
      </c>
      <c r="E24" s="87">
        <v>4</v>
      </c>
      <c r="F24" s="11">
        <v>5</v>
      </c>
      <c r="G24" s="11">
        <v>6</v>
      </c>
      <c r="H24" s="11">
        <v>7</v>
      </c>
      <c r="I24" s="87">
        <v>8</v>
      </c>
    </row>
    <row r="25" spans="1:11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378548.25+72228.32+21310+109334.52</f>
        <v>581421.09</v>
      </c>
      <c r="G25" s="13">
        <v>0</v>
      </c>
      <c r="H25" s="13">
        <v>0</v>
      </c>
      <c r="I25" s="13">
        <v>0</v>
      </c>
    </row>
    <row r="26" spans="1:11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F25+F27-F57+F106-F110</f>
        <v>0</v>
      </c>
      <c r="G26" s="43">
        <f>G25+G27-G57-G110</f>
        <v>-7.4505805969238281E-9</v>
      </c>
      <c r="H26" s="43">
        <f>H25+H27-H57-H110</f>
        <v>-7.4505805969238281E-9</v>
      </c>
      <c r="I26" s="43">
        <v>0</v>
      </c>
    </row>
    <row r="27" spans="1:11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F28+F29+F33+F34+F52+F54+F55</f>
        <v>57096842.219999999</v>
      </c>
      <c r="G27" s="42">
        <f>G28+G29+G33+G34+G52+G54+G55</f>
        <v>58668994.229999989</v>
      </c>
      <c r="H27" s="42">
        <f>H28+H29+H33+H34+H52+H54+H55</f>
        <v>58370373.54999999</v>
      </c>
      <c r="I27" s="42">
        <f>I28+I29+I33+I34+I52+I54+I55</f>
        <v>0</v>
      </c>
    </row>
    <row r="28" spans="1:11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11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F30+F32+F53</f>
        <v>43288526.969999999</v>
      </c>
      <c r="G29" s="42">
        <f>G30+G32+G53+G54</f>
        <v>42427495.909999996</v>
      </c>
      <c r="H29" s="42">
        <f>H30+H32+H53+H54</f>
        <v>42404982.389999993</v>
      </c>
      <c r="I29" s="42">
        <f>SUM(I30:I32)</f>
        <v>0</v>
      </c>
    </row>
    <row r="30" spans="1:11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</f>
        <v>43108526.969999999</v>
      </c>
      <c r="G30" s="52">
        <f>42353595.91-106100</f>
        <v>42247495.909999996</v>
      </c>
      <c r="H30" s="52">
        <f>42353595.91-128613.52</f>
        <v>42224982.389999993</v>
      </c>
      <c r="I30" s="13"/>
    </row>
    <row r="31" spans="1:11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  <c r="K31" s="4">
        <f>19998.97+12252.05</f>
        <v>32251.02</v>
      </c>
    </row>
    <row r="32" spans="1:11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180000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F35+F50+F51</f>
        <v>13796315.25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86">
        <f>SUM(F37:F49)</f>
        <v>13796315.25</v>
      </c>
      <c r="G35" s="86">
        <f>SUM(G37:G52)</f>
        <v>16230832.84</v>
      </c>
      <c r="H35" s="86">
        <f>SUM(H37:H49)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172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173</v>
      </c>
      <c r="B38" s="149"/>
      <c r="C38" s="19"/>
      <c r="D38" s="12"/>
      <c r="E38" s="11"/>
      <c r="F38" s="20">
        <v>52050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174</v>
      </c>
      <c r="B40" s="149"/>
      <c r="C40" s="12"/>
      <c r="D40" s="12"/>
      <c r="E40" s="11"/>
      <c r="F40" s="84">
        <v>100000</v>
      </c>
      <c r="G40" s="84"/>
      <c r="H40" s="84"/>
      <c r="I40" s="13"/>
    </row>
    <row r="41" spans="1:9" s="46" customFormat="1" ht="29.45" customHeight="1" x14ac:dyDescent="0.2">
      <c r="A41" s="149" t="s">
        <v>175</v>
      </c>
      <c r="B41" s="149"/>
      <c r="C41" s="12"/>
      <c r="D41" s="12"/>
      <c r="E41" s="11"/>
      <c r="F41" s="84">
        <v>45350</v>
      </c>
      <c r="G41" s="84">
        <v>45350</v>
      </c>
      <c r="H41" s="84">
        <v>45350</v>
      </c>
      <c r="I41" s="13"/>
    </row>
    <row r="42" spans="1:9" s="46" customFormat="1" ht="43.15" customHeight="1" x14ac:dyDescent="0.2">
      <c r="A42" s="149" t="s">
        <v>176</v>
      </c>
      <c r="B42" s="149"/>
      <c r="C42" s="12"/>
      <c r="D42" s="12"/>
      <c r="E42" s="11"/>
      <c r="F42" s="84">
        <v>22330.32</v>
      </c>
      <c r="G42" s="84">
        <v>25100</v>
      </c>
      <c r="H42" s="84">
        <v>22330.32</v>
      </c>
      <c r="I42" s="13"/>
    </row>
    <row r="43" spans="1:9" s="46" customFormat="1" ht="70.900000000000006" customHeight="1" x14ac:dyDescent="0.2">
      <c r="A43" s="147" t="s">
        <v>177</v>
      </c>
      <c r="B43" s="148"/>
      <c r="C43" s="12"/>
      <c r="D43" s="12"/>
      <c r="E43" s="11"/>
      <c r="F43" s="84">
        <v>8036</v>
      </c>
      <c r="G43" s="84">
        <v>11600</v>
      </c>
      <c r="H43" s="84">
        <v>8036</v>
      </c>
      <c r="I43" s="13"/>
    </row>
    <row r="44" spans="1:9" s="46" customFormat="1" ht="42.6" customHeight="1" x14ac:dyDescent="0.2">
      <c r="A44" s="149" t="s">
        <v>178</v>
      </c>
      <c r="B44" s="149"/>
      <c r="C44" s="12"/>
      <c r="D44" s="12"/>
      <c r="E44" s="11"/>
      <c r="F44" s="84">
        <v>236850</v>
      </c>
      <c r="G44" s="84">
        <v>236850</v>
      </c>
      <c r="H44" s="84">
        <v>236850</v>
      </c>
      <c r="I44" s="13"/>
    </row>
    <row r="45" spans="1:9" s="46" customFormat="1" ht="45" customHeight="1" x14ac:dyDescent="0.2">
      <c r="A45" s="149" t="s">
        <v>192</v>
      </c>
      <c r="B45" s="149"/>
      <c r="C45" s="12"/>
      <c r="D45" s="47"/>
      <c r="E45" s="11"/>
      <c r="F45" s="84">
        <v>1957200</v>
      </c>
      <c r="G45" s="84">
        <v>1957200</v>
      </c>
      <c r="H45" s="84">
        <v>1957200</v>
      </c>
      <c r="I45" s="13"/>
    </row>
    <row r="46" spans="1:9" s="46" customFormat="1" ht="55.9" customHeight="1" x14ac:dyDescent="0.2">
      <c r="A46" s="152" t="s">
        <v>201</v>
      </c>
      <c r="B46" s="153"/>
      <c r="C46" s="79"/>
      <c r="D46" s="80"/>
      <c r="E46" s="81"/>
      <c r="F46" s="85">
        <v>4520564.6500000004</v>
      </c>
      <c r="G46" s="84">
        <v>6686413.75</v>
      </c>
      <c r="H46" s="84">
        <v>6482395.7000000002</v>
      </c>
      <c r="I46" s="13"/>
    </row>
    <row r="47" spans="1:9" s="46" customFormat="1" ht="54.6" customHeight="1" x14ac:dyDescent="0.2">
      <c r="A47" s="152" t="s">
        <v>202</v>
      </c>
      <c r="B47" s="153"/>
      <c r="C47" s="79"/>
      <c r="D47" s="80"/>
      <c r="E47" s="81"/>
      <c r="F47" s="85">
        <v>1427543.13</v>
      </c>
      <c r="G47" s="84">
        <v>1860220</v>
      </c>
      <c r="H47" s="84">
        <v>1802579.38</v>
      </c>
      <c r="I47" s="13"/>
    </row>
    <row r="48" spans="1:9" s="46" customFormat="1" ht="55.9" customHeight="1" x14ac:dyDescent="0.2">
      <c r="A48" s="152" t="s">
        <v>203</v>
      </c>
      <c r="B48" s="153"/>
      <c r="C48" s="79"/>
      <c r="D48" s="80"/>
      <c r="E48" s="81"/>
      <c r="F48" s="85">
        <v>183962.21</v>
      </c>
      <c r="G48" s="84">
        <v>264539.09000000003</v>
      </c>
      <c r="H48" s="84">
        <v>256424.28</v>
      </c>
      <c r="I48" s="13"/>
    </row>
    <row r="49" spans="1:9" s="46" customFormat="1" ht="82.9" customHeight="1" x14ac:dyDescent="0.2">
      <c r="A49" s="154" t="s">
        <v>223</v>
      </c>
      <c r="B49" s="155"/>
      <c r="C49" s="79"/>
      <c r="D49" s="80"/>
      <c r="E49" s="81"/>
      <c r="F49" s="85">
        <v>3593560</v>
      </c>
      <c r="G49" s="84">
        <v>3593560</v>
      </c>
      <c r="H49" s="84">
        <v>3593560</v>
      </c>
      <c r="I49" s="13"/>
    </row>
    <row r="50" spans="1:9" s="46" customFormat="1" ht="15" customHeight="1" x14ac:dyDescent="0.2">
      <c r="A50" s="149" t="s">
        <v>180</v>
      </c>
      <c r="B50" s="149"/>
      <c r="C50" s="12" t="s">
        <v>51</v>
      </c>
      <c r="D50" s="12" t="s">
        <v>47</v>
      </c>
      <c r="E50" s="11"/>
      <c r="F50" s="13"/>
      <c r="G50" s="13"/>
      <c r="H50" s="13"/>
      <c r="I50" s="13"/>
    </row>
    <row r="51" spans="1:9" s="46" customFormat="1" ht="26.25" customHeight="1" x14ac:dyDescent="0.2">
      <c r="A51" s="147" t="s">
        <v>179</v>
      </c>
      <c r="B51" s="148"/>
      <c r="C51" s="12" t="s">
        <v>52</v>
      </c>
      <c r="D51" s="12" t="s">
        <v>47</v>
      </c>
      <c r="E51" s="11"/>
      <c r="F51" s="13"/>
      <c r="G51" s="13"/>
      <c r="H51" s="13"/>
      <c r="I51" s="13"/>
    </row>
    <row r="52" spans="1:9" s="46" customFormat="1" ht="15" customHeight="1" x14ac:dyDescent="0.2">
      <c r="A52" s="149" t="s">
        <v>53</v>
      </c>
      <c r="B52" s="149"/>
      <c r="C52" s="12" t="s">
        <v>54</v>
      </c>
      <c r="D52" s="12" t="s">
        <v>55</v>
      </c>
      <c r="E52" s="11"/>
      <c r="F52" s="13"/>
      <c r="G52" s="13"/>
      <c r="H52" s="13"/>
      <c r="I52" s="13"/>
    </row>
    <row r="53" spans="1:9" s="4" customFormat="1" ht="15" customHeight="1" x14ac:dyDescent="0.2">
      <c r="A53" s="149" t="s">
        <v>56</v>
      </c>
      <c r="B53" s="149"/>
      <c r="C53" s="12" t="s">
        <v>57</v>
      </c>
      <c r="D53" s="12" t="s">
        <v>55</v>
      </c>
      <c r="E53" s="11"/>
      <c r="F53" s="13"/>
      <c r="G53" s="13"/>
      <c r="H53" s="13"/>
      <c r="I53" s="13"/>
    </row>
    <row r="54" spans="1:9" s="4" customFormat="1" ht="15" customHeight="1" x14ac:dyDescent="0.2">
      <c r="A54" s="149" t="s">
        <v>58</v>
      </c>
      <c r="B54" s="149"/>
      <c r="C54" s="12" t="s">
        <v>59</v>
      </c>
      <c r="D54" s="12" t="s">
        <v>60</v>
      </c>
      <c r="E54" s="11"/>
      <c r="F54" s="13"/>
      <c r="G54" s="13"/>
      <c r="H54" s="13"/>
      <c r="I54" s="13"/>
    </row>
    <row r="55" spans="1:9" s="4" customFormat="1" ht="15" customHeight="1" x14ac:dyDescent="0.2">
      <c r="A55" s="149" t="s">
        <v>61</v>
      </c>
      <c r="B55" s="149"/>
      <c r="C55" s="12" t="s">
        <v>62</v>
      </c>
      <c r="D55" s="12" t="s">
        <v>25</v>
      </c>
      <c r="E55" s="11"/>
      <c r="F55" s="13"/>
      <c r="G55" s="13"/>
      <c r="H55" s="13"/>
      <c r="I55" s="13"/>
    </row>
    <row r="56" spans="1:9" s="4" customFormat="1" ht="38.450000000000003" customHeight="1" x14ac:dyDescent="0.2">
      <c r="A56" s="149" t="s">
        <v>63</v>
      </c>
      <c r="B56" s="149"/>
      <c r="C56" s="12" t="s">
        <v>64</v>
      </c>
      <c r="D56" s="12" t="s">
        <v>65</v>
      </c>
      <c r="E56" s="11"/>
      <c r="F56" s="13"/>
      <c r="G56" s="13"/>
      <c r="H56" s="13"/>
      <c r="I56" s="13" t="s">
        <v>25</v>
      </c>
    </row>
    <row r="57" spans="1:9" s="4" customFormat="1" ht="15" customHeight="1" x14ac:dyDescent="0.2">
      <c r="A57" s="146" t="s">
        <v>66</v>
      </c>
      <c r="B57" s="146"/>
      <c r="C57" s="15" t="s">
        <v>67</v>
      </c>
      <c r="D57" s="15" t="s">
        <v>25</v>
      </c>
      <c r="E57" s="16">
        <v>200</v>
      </c>
      <c r="F57" s="42">
        <f>F58+F68+F75+F79+F86+F88</f>
        <v>57206176.740000002</v>
      </c>
      <c r="G57" s="42">
        <f>G58+G68+G75+G79+G86+G88</f>
        <v>58668994.229999997</v>
      </c>
      <c r="H57" s="42">
        <f>H58+H68+H75+H79+H86+H88</f>
        <v>58370373.549999997</v>
      </c>
      <c r="I57" s="17"/>
    </row>
    <row r="58" spans="1:9" s="4" customFormat="1" ht="27" customHeight="1" x14ac:dyDescent="0.2">
      <c r="A58" s="126" t="s">
        <v>68</v>
      </c>
      <c r="B58" s="126"/>
      <c r="C58" s="21">
        <v>2100</v>
      </c>
      <c r="D58" s="15" t="s">
        <v>25</v>
      </c>
      <c r="E58" s="21"/>
      <c r="F58" s="44">
        <f>F59+F60+F61+F62+F63+F64+F66</f>
        <v>39365164.539999999</v>
      </c>
      <c r="G58" s="44">
        <f>G59+G60+G61+G62+G63+G64+G66</f>
        <v>39365164.539999999</v>
      </c>
      <c r="H58" s="44">
        <f>H59+H60+H61+H62+H63+H64+H66</f>
        <v>39365164.539999999</v>
      </c>
      <c r="I58" s="22" t="s">
        <v>25</v>
      </c>
    </row>
    <row r="59" spans="1:9" s="4" customFormat="1" ht="25.5" customHeight="1" x14ac:dyDescent="0.2">
      <c r="A59" s="126" t="s">
        <v>69</v>
      </c>
      <c r="B59" s="126"/>
      <c r="C59" s="21">
        <v>2110</v>
      </c>
      <c r="D59" s="21">
        <v>111</v>
      </c>
      <c r="E59" s="21"/>
      <c r="F59" s="22">
        <f>27221908.24+90000+82949.31+76804.92+2760030.72</f>
        <v>30231693.189999998</v>
      </c>
      <c r="G59" s="22">
        <f>82949.31+27221908.24+90000+76804.92+2760030.72</f>
        <v>30231693.189999998</v>
      </c>
      <c r="H59" s="22">
        <f>82949.31+27221908.24+90000+76804.92+2760030.72</f>
        <v>30231693.189999998</v>
      </c>
      <c r="I59" s="22" t="s">
        <v>25</v>
      </c>
    </row>
    <row r="60" spans="1:9" s="4" customFormat="1" ht="15" customHeight="1" x14ac:dyDescent="0.2">
      <c r="A60" s="126" t="s">
        <v>70</v>
      </c>
      <c r="B60" s="126"/>
      <c r="C60" s="21">
        <v>2120</v>
      </c>
      <c r="D60" s="21">
        <v>112</v>
      </c>
      <c r="E60" s="21"/>
      <c r="F60" s="22">
        <v>3500</v>
      </c>
      <c r="G60" s="22">
        <v>3500</v>
      </c>
      <c r="H60" s="22">
        <v>3500</v>
      </c>
      <c r="I60" s="22" t="s">
        <v>25</v>
      </c>
    </row>
    <row r="61" spans="1:9" s="4" customFormat="1" ht="28.5" customHeight="1" x14ac:dyDescent="0.2">
      <c r="A61" s="126" t="s">
        <v>71</v>
      </c>
      <c r="B61" s="126"/>
      <c r="C61" s="21">
        <v>2130</v>
      </c>
      <c r="D61" s="21">
        <v>113</v>
      </c>
      <c r="E61" s="21"/>
      <c r="F61" s="22"/>
      <c r="G61" s="22"/>
      <c r="H61" s="22"/>
      <c r="I61" s="22" t="s">
        <v>25</v>
      </c>
    </row>
    <row r="62" spans="1:9" s="4" customFormat="1" ht="28.9" customHeight="1" x14ac:dyDescent="0.2">
      <c r="A62" s="126" t="s">
        <v>72</v>
      </c>
      <c r="B62" s="126"/>
      <c r="C62" s="21">
        <v>2140</v>
      </c>
      <c r="D62" s="21">
        <v>119</v>
      </c>
      <c r="E62" s="21"/>
      <c r="F62" s="22">
        <f>8248196.3+25050.69+23195.08+833529.28</f>
        <v>9129971.3499999996</v>
      </c>
      <c r="G62" s="22">
        <f>25050.69+8248196.3+23195.08+833529.28</f>
        <v>9129971.3499999996</v>
      </c>
      <c r="H62" s="22">
        <f>25050.69+8248196.3+23195.08+833529.28</f>
        <v>9129971.3499999996</v>
      </c>
      <c r="I62" s="22" t="s">
        <v>25</v>
      </c>
    </row>
    <row r="63" spans="1:9" s="4" customFormat="1" ht="16.899999999999999" customHeight="1" x14ac:dyDescent="0.2">
      <c r="A63" s="126" t="s">
        <v>73</v>
      </c>
      <c r="B63" s="126"/>
      <c r="C63" s="21">
        <v>2150</v>
      </c>
      <c r="D63" s="21">
        <v>131</v>
      </c>
      <c r="E63" s="21"/>
      <c r="F63" s="22"/>
      <c r="G63" s="22"/>
      <c r="H63" s="22"/>
      <c r="I63" s="22" t="s">
        <v>25</v>
      </c>
    </row>
    <row r="64" spans="1:9" s="4" customFormat="1" ht="27" customHeight="1" x14ac:dyDescent="0.2">
      <c r="A64" s="126" t="s">
        <v>74</v>
      </c>
      <c r="B64" s="126"/>
      <c r="C64" s="21">
        <v>2160</v>
      </c>
      <c r="D64" s="21">
        <v>133</v>
      </c>
      <c r="E64" s="21"/>
      <c r="F64" s="22"/>
      <c r="G64" s="22"/>
      <c r="H64" s="22"/>
      <c r="I64" s="22" t="s">
        <v>25</v>
      </c>
    </row>
    <row r="65" spans="1:9" s="4" customFormat="1" ht="15.75" customHeight="1" x14ac:dyDescent="0.2">
      <c r="A65" s="126" t="s">
        <v>75</v>
      </c>
      <c r="B65" s="126"/>
      <c r="C65" s="21">
        <v>2170</v>
      </c>
      <c r="D65" s="21">
        <v>134</v>
      </c>
      <c r="E65" s="21"/>
      <c r="F65" s="22"/>
      <c r="G65" s="22"/>
      <c r="H65" s="22"/>
      <c r="I65" s="22"/>
    </row>
    <row r="66" spans="1:9" s="4" customFormat="1" ht="30.75" customHeight="1" x14ac:dyDescent="0.2">
      <c r="A66" s="126" t="s">
        <v>76</v>
      </c>
      <c r="B66" s="126"/>
      <c r="C66" s="21">
        <v>2180</v>
      </c>
      <c r="D66" s="21">
        <v>139</v>
      </c>
      <c r="E66" s="21"/>
      <c r="F66" s="44">
        <f>F67</f>
        <v>0</v>
      </c>
      <c r="G66" s="44">
        <f>G67</f>
        <v>0</v>
      </c>
      <c r="H66" s="44">
        <f>H67</f>
        <v>0</v>
      </c>
      <c r="I66" s="22" t="s">
        <v>25</v>
      </c>
    </row>
    <row r="67" spans="1:9" s="4" customFormat="1" ht="25.5" customHeight="1" x14ac:dyDescent="0.2">
      <c r="A67" s="126" t="s">
        <v>77</v>
      </c>
      <c r="B67" s="126"/>
      <c r="C67" s="21">
        <v>2181</v>
      </c>
      <c r="D67" s="21">
        <v>139</v>
      </c>
      <c r="E67" s="21"/>
      <c r="F67" s="22"/>
      <c r="G67" s="22"/>
      <c r="H67" s="22"/>
      <c r="I67" s="22" t="s">
        <v>25</v>
      </c>
    </row>
    <row r="68" spans="1:9" s="76" customFormat="1" ht="15" customHeight="1" x14ac:dyDescent="0.2">
      <c r="A68" s="141" t="s">
        <v>78</v>
      </c>
      <c r="B68" s="141"/>
      <c r="C68" s="25">
        <v>2200</v>
      </c>
      <c r="D68" s="25">
        <v>300</v>
      </c>
      <c r="E68" s="25"/>
      <c r="F68" s="45">
        <f>F69+F72+F73+F74</f>
        <v>0</v>
      </c>
      <c r="G68" s="45">
        <f>G69+G72+G73+G74</f>
        <v>0</v>
      </c>
      <c r="H68" s="45">
        <f>H69+H72+H73+H74</f>
        <v>0</v>
      </c>
      <c r="I68" s="26" t="s">
        <v>25</v>
      </c>
    </row>
    <row r="69" spans="1:9" s="4" customFormat="1" ht="24.6" customHeight="1" x14ac:dyDescent="0.2">
      <c r="A69" s="126" t="s">
        <v>79</v>
      </c>
      <c r="B69" s="126"/>
      <c r="C69" s="21">
        <v>2210</v>
      </c>
      <c r="D69" s="21">
        <v>320</v>
      </c>
      <c r="E69" s="21"/>
      <c r="F69" s="44">
        <f>SUM(F70:F71)</f>
        <v>0</v>
      </c>
      <c r="G69" s="44">
        <f>SUM(G70:G70)</f>
        <v>0</v>
      </c>
      <c r="H69" s="44">
        <f>SUM(H70:H70)</f>
        <v>0</v>
      </c>
      <c r="I69" s="22" t="s">
        <v>25</v>
      </c>
    </row>
    <row r="70" spans="1:9" s="4" customFormat="1" ht="36.6" customHeight="1" x14ac:dyDescent="0.2">
      <c r="A70" s="126" t="s">
        <v>80</v>
      </c>
      <c r="B70" s="126"/>
      <c r="C70" s="21">
        <v>2211</v>
      </c>
      <c r="D70" s="21">
        <v>321</v>
      </c>
      <c r="E70" s="21"/>
      <c r="F70" s="22"/>
      <c r="G70" s="22"/>
      <c r="H70" s="22"/>
      <c r="I70" s="22" t="s">
        <v>25</v>
      </c>
    </row>
    <row r="71" spans="1:9" s="4" customFormat="1" ht="15.6" customHeight="1" x14ac:dyDescent="0.2">
      <c r="A71" s="139" t="s">
        <v>181</v>
      </c>
      <c r="B71" s="140"/>
      <c r="C71" s="21">
        <v>2212</v>
      </c>
      <c r="D71" s="21">
        <v>321</v>
      </c>
      <c r="E71" s="21"/>
      <c r="F71" s="22"/>
      <c r="G71" s="22"/>
      <c r="H71" s="22"/>
      <c r="I71" s="22" t="s">
        <v>25</v>
      </c>
    </row>
    <row r="72" spans="1:9" s="4" customFormat="1" ht="25.9" customHeight="1" x14ac:dyDescent="0.2">
      <c r="A72" s="126" t="s">
        <v>81</v>
      </c>
      <c r="B72" s="126"/>
      <c r="C72" s="21">
        <v>2220</v>
      </c>
      <c r="D72" s="21">
        <v>340</v>
      </c>
      <c r="E72" s="21"/>
      <c r="F72" s="22"/>
      <c r="G72" s="22"/>
      <c r="H72" s="22"/>
      <c r="I72" s="22" t="s">
        <v>25</v>
      </c>
    </row>
    <row r="73" spans="1:9" s="4" customFormat="1" ht="39" customHeight="1" x14ac:dyDescent="0.2">
      <c r="A73" s="126" t="s">
        <v>82</v>
      </c>
      <c r="B73" s="126"/>
      <c r="C73" s="21">
        <v>2230</v>
      </c>
      <c r="D73" s="21">
        <v>350</v>
      </c>
      <c r="E73" s="21"/>
      <c r="F73" s="22"/>
      <c r="G73" s="22"/>
      <c r="H73" s="22"/>
      <c r="I73" s="22" t="s">
        <v>25</v>
      </c>
    </row>
    <row r="74" spans="1:9" s="4" customFormat="1" ht="16.149999999999999" customHeight="1" x14ac:dyDescent="0.2">
      <c r="A74" s="126" t="s">
        <v>83</v>
      </c>
      <c r="B74" s="126"/>
      <c r="C74" s="21">
        <v>2240</v>
      </c>
      <c r="D74" s="21">
        <v>360</v>
      </c>
      <c r="E74" s="21"/>
      <c r="F74" s="22"/>
      <c r="G74" s="22"/>
      <c r="H74" s="22"/>
      <c r="I74" s="22" t="s">
        <v>25</v>
      </c>
    </row>
    <row r="75" spans="1:9" s="76" customFormat="1" ht="15" customHeight="1" x14ac:dyDescent="0.2">
      <c r="A75" s="141" t="s">
        <v>84</v>
      </c>
      <c r="B75" s="141"/>
      <c r="C75" s="25">
        <v>2300</v>
      </c>
      <c r="D75" s="25">
        <v>850</v>
      </c>
      <c r="E75" s="25"/>
      <c r="F75" s="45">
        <f>SUM(F76:F78)</f>
        <v>101559.52</v>
      </c>
      <c r="G75" s="45">
        <f>SUM(G76:G78)</f>
        <v>100225</v>
      </c>
      <c r="H75" s="45">
        <f>SUM(H76:H78)</f>
        <v>100225</v>
      </c>
      <c r="I75" s="26" t="s">
        <v>25</v>
      </c>
    </row>
    <row r="76" spans="1:9" s="4" customFormat="1" ht="24" customHeight="1" x14ac:dyDescent="0.2">
      <c r="A76" s="126" t="s">
        <v>85</v>
      </c>
      <c r="B76" s="126"/>
      <c r="C76" s="21">
        <v>2310</v>
      </c>
      <c r="D76" s="21">
        <v>851</v>
      </c>
      <c r="E76" s="21"/>
      <c r="F76" s="22">
        <v>87400</v>
      </c>
      <c r="G76" s="22">
        <v>87400</v>
      </c>
      <c r="H76" s="22">
        <v>87400</v>
      </c>
      <c r="I76" s="22" t="s">
        <v>25</v>
      </c>
    </row>
    <row r="77" spans="1:9" s="4" customFormat="1" ht="30" customHeight="1" x14ac:dyDescent="0.2">
      <c r="A77" s="126" t="s">
        <v>86</v>
      </c>
      <c r="B77" s="126"/>
      <c r="C77" s="21">
        <v>2320</v>
      </c>
      <c r="D77" s="21">
        <v>852</v>
      </c>
      <c r="E77" s="21"/>
      <c r="F77" s="22">
        <v>0</v>
      </c>
      <c r="G77" s="22"/>
      <c r="H77" s="22"/>
      <c r="I77" s="22" t="s">
        <v>25</v>
      </c>
    </row>
    <row r="78" spans="1:9" s="4" customFormat="1" ht="13.5" customHeight="1" x14ac:dyDescent="0.2">
      <c r="A78" s="126" t="s">
        <v>87</v>
      </c>
      <c r="B78" s="126"/>
      <c r="C78" s="21">
        <v>2330</v>
      </c>
      <c r="D78" s="21">
        <v>853</v>
      </c>
      <c r="E78" s="21"/>
      <c r="F78" s="22">
        <f>12825+1334.52</f>
        <v>14159.52</v>
      </c>
      <c r="G78" s="22">
        <v>12825</v>
      </c>
      <c r="H78" s="22">
        <v>12825</v>
      </c>
      <c r="I78" s="22" t="s">
        <v>25</v>
      </c>
    </row>
    <row r="79" spans="1:9" s="4" customFormat="1" ht="13.5" customHeight="1" x14ac:dyDescent="0.2">
      <c r="A79" s="126" t="s">
        <v>88</v>
      </c>
      <c r="B79" s="126"/>
      <c r="C79" s="21">
        <v>2400</v>
      </c>
      <c r="D79" s="21" t="s">
        <v>25</v>
      </c>
      <c r="E79" s="21"/>
      <c r="F79" s="44">
        <f>SUM(F80:F82)</f>
        <v>0</v>
      </c>
      <c r="G79" s="44">
        <f>SUM(G80:G82)</f>
        <v>0</v>
      </c>
      <c r="H79" s="44">
        <f>SUM(H80:H82)</f>
        <v>0</v>
      </c>
      <c r="I79" s="22" t="s">
        <v>25</v>
      </c>
    </row>
    <row r="80" spans="1:9" s="4" customFormat="1" ht="21.6" customHeight="1" x14ac:dyDescent="0.2">
      <c r="A80" s="126" t="s">
        <v>89</v>
      </c>
      <c r="B80" s="126"/>
      <c r="C80" s="21">
        <v>2410</v>
      </c>
      <c r="D80" s="21">
        <v>613</v>
      </c>
      <c r="E80" s="21"/>
      <c r="F80" s="22"/>
      <c r="G80" s="22"/>
      <c r="H80" s="22"/>
      <c r="I80" s="22" t="s">
        <v>25</v>
      </c>
    </row>
    <row r="81" spans="1:10" s="4" customFormat="1" ht="15" customHeight="1" x14ac:dyDescent="0.2">
      <c r="A81" s="126" t="s">
        <v>90</v>
      </c>
      <c r="B81" s="126"/>
      <c r="C81" s="21">
        <v>2420</v>
      </c>
      <c r="D81" s="21">
        <v>623</v>
      </c>
      <c r="E81" s="21"/>
      <c r="F81" s="22"/>
      <c r="G81" s="22"/>
      <c r="H81" s="22"/>
      <c r="I81" s="22" t="s">
        <v>25</v>
      </c>
    </row>
    <row r="82" spans="1:10" s="4" customFormat="1" ht="30" customHeight="1" x14ac:dyDescent="0.2">
      <c r="A82" s="126" t="s">
        <v>91</v>
      </c>
      <c r="B82" s="126"/>
      <c r="C82" s="21">
        <v>2430</v>
      </c>
      <c r="D82" s="21">
        <v>634</v>
      </c>
      <c r="E82" s="21"/>
      <c r="F82" s="22"/>
      <c r="G82" s="22"/>
      <c r="H82" s="22"/>
      <c r="I82" s="22" t="s">
        <v>25</v>
      </c>
    </row>
    <row r="83" spans="1:10" s="4" customFormat="1" ht="16.899999999999999" customHeight="1" x14ac:dyDescent="0.2">
      <c r="A83" s="139" t="s">
        <v>92</v>
      </c>
      <c r="B83" s="140"/>
      <c r="C83" s="21">
        <v>2440</v>
      </c>
      <c r="D83" s="21">
        <v>810</v>
      </c>
      <c r="E83" s="21"/>
      <c r="F83" s="22"/>
      <c r="G83" s="22"/>
      <c r="H83" s="22"/>
      <c r="I83" s="22"/>
    </row>
    <row r="84" spans="1:10" s="4" customFormat="1" ht="16.899999999999999" customHeight="1" x14ac:dyDescent="0.2">
      <c r="A84" s="139" t="s">
        <v>93</v>
      </c>
      <c r="B84" s="140"/>
      <c r="C84" s="21">
        <v>2450</v>
      </c>
      <c r="D84" s="21">
        <v>862</v>
      </c>
      <c r="E84" s="21"/>
      <c r="F84" s="22"/>
      <c r="G84" s="22"/>
      <c r="H84" s="22"/>
      <c r="I84" s="22"/>
    </row>
    <row r="85" spans="1:10" s="4" customFormat="1" ht="30.75" customHeight="1" x14ac:dyDescent="0.2">
      <c r="A85" s="139" t="s">
        <v>94</v>
      </c>
      <c r="B85" s="140"/>
      <c r="C85" s="21">
        <v>2460</v>
      </c>
      <c r="D85" s="21">
        <v>863</v>
      </c>
      <c r="E85" s="21"/>
      <c r="F85" s="22"/>
      <c r="G85" s="22"/>
      <c r="H85" s="22"/>
      <c r="I85" s="22"/>
    </row>
    <row r="86" spans="1:10" s="4" customFormat="1" ht="15" customHeight="1" x14ac:dyDescent="0.2">
      <c r="A86" s="126" t="s">
        <v>95</v>
      </c>
      <c r="B86" s="126"/>
      <c r="C86" s="21">
        <v>2500</v>
      </c>
      <c r="D86" s="21" t="s">
        <v>25</v>
      </c>
      <c r="E86" s="21"/>
      <c r="F86" s="44">
        <f>F87</f>
        <v>0</v>
      </c>
      <c r="G86" s="44">
        <f>G87</f>
        <v>0</v>
      </c>
      <c r="H86" s="44">
        <f>H87</f>
        <v>0</v>
      </c>
      <c r="I86" s="22" t="s">
        <v>25</v>
      </c>
    </row>
    <row r="87" spans="1:10" s="4" customFormat="1" ht="31.5" customHeight="1" x14ac:dyDescent="0.2">
      <c r="A87" s="126" t="s">
        <v>96</v>
      </c>
      <c r="B87" s="126"/>
      <c r="C87" s="21">
        <v>2520</v>
      </c>
      <c r="D87" s="21">
        <v>831</v>
      </c>
      <c r="E87" s="21"/>
      <c r="F87" s="22"/>
      <c r="G87" s="22"/>
      <c r="H87" s="22"/>
      <c r="I87" s="22" t="s">
        <v>25</v>
      </c>
    </row>
    <row r="88" spans="1:10" s="76" customFormat="1" ht="15" customHeight="1" x14ac:dyDescent="0.2">
      <c r="A88" s="141" t="s">
        <v>97</v>
      </c>
      <c r="B88" s="141"/>
      <c r="C88" s="25">
        <v>2600</v>
      </c>
      <c r="D88" s="25" t="s">
        <v>25</v>
      </c>
      <c r="E88" s="25"/>
      <c r="F88" s="45">
        <f>F89+F90+F91+F103+F100</f>
        <v>17739452.68</v>
      </c>
      <c r="G88" s="45">
        <f>G89+G90+G91+G103+G100</f>
        <v>19203604.689999998</v>
      </c>
      <c r="H88" s="45">
        <f>H89+H90+H91+H103+H100</f>
        <v>18904984.009999998</v>
      </c>
      <c r="I88" s="26"/>
    </row>
    <row r="89" spans="1:10" s="4" customFormat="1" ht="30" customHeight="1" x14ac:dyDescent="0.2">
      <c r="A89" s="126" t="s">
        <v>98</v>
      </c>
      <c r="B89" s="126"/>
      <c r="C89" s="21">
        <v>2610</v>
      </c>
      <c r="D89" s="21">
        <v>241</v>
      </c>
      <c r="E89" s="21"/>
      <c r="F89" s="22"/>
      <c r="G89" s="22"/>
      <c r="H89" s="22"/>
      <c r="I89" s="22"/>
    </row>
    <row r="90" spans="1:10" s="4" customFormat="1" ht="27.75" customHeight="1" x14ac:dyDescent="0.2">
      <c r="A90" s="126" t="s">
        <v>99</v>
      </c>
      <c r="B90" s="126"/>
      <c r="C90" s="21">
        <v>2630</v>
      </c>
      <c r="D90" s="21">
        <v>243</v>
      </c>
      <c r="E90" s="21"/>
      <c r="F90" s="22"/>
      <c r="G90" s="22"/>
      <c r="H90" s="22"/>
      <c r="I90" s="22"/>
    </row>
    <row r="91" spans="1:10" s="76" customFormat="1" ht="15" customHeight="1" x14ac:dyDescent="0.2">
      <c r="A91" s="141" t="s">
        <v>100</v>
      </c>
      <c r="B91" s="141"/>
      <c r="C91" s="25">
        <v>2640</v>
      </c>
      <c r="D91" s="25">
        <v>244</v>
      </c>
      <c r="E91" s="25"/>
      <c r="F91" s="45">
        <f>SUM(F92:F99)</f>
        <v>15181730.02</v>
      </c>
      <c r="G91" s="45">
        <f>SUM(G92:G98)</f>
        <v>16852416.689999998</v>
      </c>
      <c r="H91" s="45">
        <f>SUM(H92:H98)</f>
        <v>16553796.009999998</v>
      </c>
      <c r="I91" s="26"/>
    </row>
    <row r="92" spans="1:10" s="4" customFormat="1" ht="14.45" customHeight="1" x14ac:dyDescent="0.2">
      <c r="A92" s="144" t="s">
        <v>101</v>
      </c>
      <c r="B92" s="145"/>
      <c r="C92" s="21"/>
      <c r="D92" s="23"/>
      <c r="E92" s="21"/>
      <c r="F92" s="22"/>
      <c r="G92" s="22"/>
      <c r="H92" s="22"/>
      <c r="I92" s="22"/>
    </row>
    <row r="93" spans="1:10" s="4" customFormat="1" ht="16.149999999999999" customHeight="1" x14ac:dyDescent="0.2">
      <c r="A93" s="126" t="s">
        <v>102</v>
      </c>
      <c r="B93" s="126"/>
      <c r="C93" s="21">
        <v>2641</v>
      </c>
      <c r="D93" s="23" t="s">
        <v>103</v>
      </c>
      <c r="E93" s="21"/>
      <c r="F93" s="22">
        <v>235839.01</v>
      </c>
      <c r="G93" s="22">
        <v>234490.45</v>
      </c>
      <c r="H93" s="22">
        <v>234490.45</v>
      </c>
      <c r="I93" s="22"/>
    </row>
    <row r="94" spans="1:10" s="4" customFormat="1" ht="13.15" customHeight="1" x14ac:dyDescent="0.2">
      <c r="A94" s="126" t="s">
        <v>104</v>
      </c>
      <c r="B94" s="126"/>
      <c r="C94" s="21">
        <v>2642</v>
      </c>
      <c r="D94" s="23" t="s">
        <v>103</v>
      </c>
      <c r="E94" s="21"/>
      <c r="F94" s="22">
        <f>30000+294220.46</f>
        <v>324220.46000000002</v>
      </c>
      <c r="G94" s="22">
        <v>290000</v>
      </c>
      <c r="H94" s="22">
        <v>290000</v>
      </c>
      <c r="I94" s="22"/>
      <c r="J94" s="4">
        <f>48206.02+36833.16</f>
        <v>85039.18</v>
      </c>
    </row>
    <row r="95" spans="1:10" s="4" customFormat="1" ht="15" customHeight="1" x14ac:dyDescent="0.2">
      <c r="A95" s="144" t="s">
        <v>105</v>
      </c>
      <c r="B95" s="145"/>
      <c r="C95" s="24">
        <v>2643</v>
      </c>
      <c r="D95" s="23" t="s">
        <v>103</v>
      </c>
      <c r="E95" s="21"/>
      <c r="F95" s="22">
        <f>46000+263319.7+52050+140000+10000</f>
        <v>511369.7</v>
      </c>
      <c r="G95" s="22">
        <f>273209.72+50000</f>
        <v>323209.71999999997</v>
      </c>
      <c r="H95" s="22">
        <f>273209.72+50000</f>
        <v>323209.71999999997</v>
      </c>
      <c r="I95" s="22"/>
    </row>
    <row r="96" spans="1:10" s="4" customFormat="1" ht="14.45" customHeight="1" x14ac:dyDescent="0.2">
      <c r="A96" s="126" t="s">
        <v>106</v>
      </c>
      <c r="B96" s="126"/>
      <c r="C96" s="21">
        <v>2644</v>
      </c>
      <c r="D96" s="23" t="s">
        <v>103</v>
      </c>
      <c r="E96" s="21"/>
      <c r="F96" s="22">
        <f>511600+598400+1549183+6132069.99+45350+22330.32+8036+236850+204782.5+10000-7111.25</f>
        <v>9311490.5600000005</v>
      </c>
      <c r="G96" s="22">
        <f>535232.88+1799245.32+205000+8792949.77+45350+25100+11600+236850+18223.07</f>
        <v>11669551.039999999</v>
      </c>
      <c r="H96" s="22">
        <f>535232.88+1799245.32+205000+45350+22330.32+8036+236850+8541399.36</f>
        <v>11393443.879999999</v>
      </c>
      <c r="I96" s="22"/>
    </row>
    <row r="97" spans="1:9" s="4" customFormat="1" ht="16.149999999999999" customHeight="1" x14ac:dyDescent="0.2">
      <c r="A97" s="126" t="s">
        <v>107</v>
      </c>
      <c r="B97" s="126"/>
      <c r="C97" s="24">
        <v>2645</v>
      </c>
      <c r="D97" s="23" t="s">
        <v>103</v>
      </c>
      <c r="E97" s="21"/>
      <c r="F97" s="22">
        <f>1498868.94+1857200+10000+100000+50000-12476.25</f>
        <v>3503592.69</v>
      </c>
      <c r="G97" s="22">
        <f>1857200+1500000</f>
        <v>3357200</v>
      </c>
      <c r="H97" s="22">
        <f>1857200+1500000</f>
        <v>3357200</v>
      </c>
      <c r="I97" s="22"/>
    </row>
    <row r="98" spans="1:9" s="4" customFormat="1" ht="13.9" customHeight="1" x14ac:dyDescent="0.2">
      <c r="A98" s="126" t="s">
        <v>108</v>
      </c>
      <c r="B98" s="126"/>
      <c r="C98" s="24">
        <v>2646</v>
      </c>
      <c r="D98" s="23" t="s">
        <v>103</v>
      </c>
      <c r="E98" s="21"/>
      <c r="F98" s="22">
        <f>6913.45+489716.65+610000+22000+25000+60000+62000+7111.25+12476.25</f>
        <v>1295217.6000000001</v>
      </c>
      <c r="G98" s="22">
        <f>20665.48+62000+654400+300000+22000+25000-106100</f>
        <v>977965.48</v>
      </c>
      <c r="H98" s="22">
        <f>20665.48+62000+654400+300000+22000+25000-128613.52</f>
        <v>955451.96</v>
      </c>
      <c r="I98" s="22"/>
    </row>
    <row r="99" spans="1:9" s="4" customFormat="1" ht="10.15" customHeight="1" x14ac:dyDescent="0.2">
      <c r="A99" s="139"/>
      <c r="B99" s="140"/>
      <c r="C99" s="24"/>
      <c r="D99" s="23"/>
      <c r="E99" s="21"/>
      <c r="F99" s="22"/>
      <c r="G99" s="22"/>
      <c r="H99" s="22"/>
      <c r="I99" s="22"/>
    </row>
    <row r="100" spans="1:9" s="76" customFormat="1" ht="17.45" customHeight="1" x14ac:dyDescent="0.2">
      <c r="A100" s="142" t="s">
        <v>211</v>
      </c>
      <c r="B100" s="143" t="s">
        <v>211</v>
      </c>
      <c r="C100" s="74">
        <v>2650</v>
      </c>
      <c r="D100" s="75" t="s">
        <v>212</v>
      </c>
      <c r="E100" s="25"/>
      <c r="F100" s="77">
        <f>F102</f>
        <v>2557722.66</v>
      </c>
      <c r="G100" s="77">
        <f>G102</f>
        <v>2351188</v>
      </c>
      <c r="H100" s="77">
        <f>H102</f>
        <v>2351188</v>
      </c>
      <c r="I100" s="26"/>
    </row>
    <row r="101" spans="1:9" s="4" customFormat="1" ht="17.45" customHeight="1" x14ac:dyDescent="0.2">
      <c r="A101" s="144" t="s">
        <v>50</v>
      </c>
      <c r="B101" s="145" t="s">
        <v>50</v>
      </c>
      <c r="C101" s="24"/>
      <c r="D101" s="23"/>
      <c r="E101" s="21"/>
      <c r="F101" s="22"/>
      <c r="G101" s="22"/>
      <c r="H101" s="22"/>
      <c r="I101" s="22"/>
    </row>
    <row r="102" spans="1:9" s="4" customFormat="1" ht="17.45" customHeight="1" x14ac:dyDescent="0.2">
      <c r="A102" s="144" t="s">
        <v>104</v>
      </c>
      <c r="B102" s="145" t="s">
        <v>104</v>
      </c>
      <c r="C102" s="24">
        <v>2651</v>
      </c>
      <c r="D102" s="23" t="s">
        <v>212</v>
      </c>
      <c r="E102" s="21"/>
      <c r="F102" s="22">
        <f>400439.67+2157282.99</f>
        <v>2557722.66</v>
      </c>
      <c r="G102" s="22">
        <v>2351188</v>
      </c>
      <c r="H102" s="22">
        <v>2351188</v>
      </c>
      <c r="I102" s="22"/>
    </row>
    <row r="103" spans="1:9" s="4" customFormat="1" ht="21.6" customHeight="1" x14ac:dyDescent="0.2">
      <c r="A103" s="139" t="s">
        <v>109</v>
      </c>
      <c r="B103" s="140"/>
      <c r="C103" s="21">
        <v>2650</v>
      </c>
      <c r="D103" s="21">
        <v>400</v>
      </c>
      <c r="E103" s="21"/>
      <c r="F103" s="22">
        <f>F104+F105</f>
        <v>0</v>
      </c>
      <c r="G103" s="22">
        <f>G104+G105</f>
        <v>0</v>
      </c>
      <c r="H103" s="22">
        <f>H104+H105</f>
        <v>0</v>
      </c>
      <c r="I103" s="22">
        <f>I104+I105</f>
        <v>0</v>
      </c>
    </row>
    <row r="104" spans="1:9" s="4" customFormat="1" ht="37.9" customHeight="1" x14ac:dyDescent="0.2">
      <c r="A104" s="139" t="s">
        <v>110</v>
      </c>
      <c r="B104" s="140"/>
      <c r="C104" s="21">
        <v>2651</v>
      </c>
      <c r="D104" s="21">
        <v>406</v>
      </c>
      <c r="E104" s="21"/>
      <c r="F104" s="22"/>
      <c r="G104" s="22"/>
      <c r="H104" s="22"/>
      <c r="I104" s="22"/>
    </row>
    <row r="105" spans="1:9" s="4" customFormat="1" ht="30" customHeight="1" x14ac:dyDescent="0.2">
      <c r="A105" s="139" t="s">
        <v>111</v>
      </c>
      <c r="B105" s="140"/>
      <c r="C105" s="21">
        <v>2652</v>
      </c>
      <c r="D105" s="21">
        <v>407</v>
      </c>
      <c r="E105" s="21"/>
      <c r="F105" s="22"/>
      <c r="G105" s="22"/>
      <c r="H105" s="22"/>
      <c r="I105" s="22"/>
    </row>
    <row r="106" spans="1:9" s="4" customFormat="1" ht="15" customHeight="1" x14ac:dyDescent="0.2">
      <c r="A106" s="141" t="s">
        <v>112</v>
      </c>
      <c r="B106" s="141"/>
      <c r="C106" s="25">
        <v>3000</v>
      </c>
      <c r="D106" s="25">
        <v>100</v>
      </c>
      <c r="E106" s="21"/>
      <c r="F106" s="45">
        <f>SUM(F107:F109)</f>
        <v>0</v>
      </c>
      <c r="G106" s="45">
        <f>SUM(G107:G109)</f>
        <v>0</v>
      </c>
      <c r="H106" s="45">
        <f>SUM(H107:H109)</f>
        <v>0</v>
      </c>
      <c r="I106" s="26" t="s">
        <v>25</v>
      </c>
    </row>
    <row r="107" spans="1:9" s="4" customFormat="1" ht="26.25" customHeight="1" x14ac:dyDescent="0.2">
      <c r="A107" s="126" t="s">
        <v>113</v>
      </c>
      <c r="B107" s="126"/>
      <c r="C107" s="21">
        <v>3010</v>
      </c>
      <c r="D107" s="21"/>
      <c r="E107" s="25"/>
      <c r="F107" s="22"/>
      <c r="G107" s="22"/>
      <c r="H107" s="22"/>
      <c r="I107" s="22" t="s">
        <v>25</v>
      </c>
    </row>
    <row r="108" spans="1:9" s="4" customFormat="1" ht="15" customHeight="1" x14ac:dyDescent="0.2">
      <c r="A108" s="126" t="s">
        <v>114</v>
      </c>
      <c r="B108" s="126"/>
      <c r="C108" s="21">
        <v>3020</v>
      </c>
      <c r="D108" s="21"/>
      <c r="E108" s="21"/>
      <c r="F108" s="22"/>
      <c r="G108" s="22"/>
      <c r="H108" s="22"/>
      <c r="I108" s="22" t="s">
        <v>25</v>
      </c>
    </row>
    <row r="109" spans="1:9" s="4" customFormat="1" ht="15" customHeight="1" x14ac:dyDescent="0.2">
      <c r="A109" s="126" t="s">
        <v>115</v>
      </c>
      <c r="B109" s="126"/>
      <c r="C109" s="21">
        <v>3030</v>
      </c>
      <c r="D109" s="21"/>
      <c r="E109" s="21"/>
      <c r="F109" s="22"/>
      <c r="G109" s="22"/>
      <c r="H109" s="22"/>
      <c r="I109" s="22" t="s">
        <v>25</v>
      </c>
    </row>
    <row r="110" spans="1:9" s="4" customFormat="1" ht="15" customHeight="1" x14ac:dyDescent="0.2">
      <c r="A110" s="141" t="s">
        <v>116</v>
      </c>
      <c r="B110" s="141"/>
      <c r="C110" s="25">
        <v>4000</v>
      </c>
      <c r="D110" s="25" t="s">
        <v>25</v>
      </c>
      <c r="E110" s="21"/>
      <c r="F110" s="45">
        <f>F111</f>
        <v>472086.57</v>
      </c>
      <c r="G110" s="26">
        <f>G111</f>
        <v>0</v>
      </c>
      <c r="H110" s="26">
        <f>H111</f>
        <v>0</v>
      </c>
      <c r="I110" s="26" t="s">
        <v>25</v>
      </c>
    </row>
    <row r="111" spans="1:9" s="4" customFormat="1" ht="25.5" customHeight="1" x14ac:dyDescent="0.2">
      <c r="A111" s="126" t="s">
        <v>117</v>
      </c>
      <c r="B111" s="126"/>
      <c r="C111" s="21">
        <v>4010</v>
      </c>
      <c r="D111" s="21">
        <v>610</v>
      </c>
      <c r="E111" s="25"/>
      <c r="F111" s="22">
        <f>378548.25+72228.32+21310</f>
        <v>472086.57</v>
      </c>
      <c r="G111" s="22"/>
      <c r="H111" s="22"/>
      <c r="I111" s="22" t="s">
        <v>25</v>
      </c>
    </row>
    <row r="112" spans="1:9" s="4" customFormat="1" ht="9.6" customHeight="1" x14ac:dyDescent="0.2">
      <c r="A112" s="27"/>
      <c r="B112" s="28"/>
      <c r="C112" s="29"/>
      <c r="D112" s="29"/>
      <c r="E112" s="30"/>
      <c r="F112" s="31"/>
      <c r="G112" s="31"/>
      <c r="H112" s="31"/>
      <c r="I112" s="31"/>
    </row>
    <row r="113" spans="1:12" x14ac:dyDescent="0.25">
      <c r="A113" s="127" t="s">
        <v>118</v>
      </c>
      <c r="B113" s="127"/>
      <c r="C113" s="127"/>
      <c r="D113" s="127"/>
      <c r="E113" s="127"/>
      <c r="F113" s="127"/>
      <c r="G113" s="127"/>
      <c r="H113" s="127"/>
      <c r="I113" s="32"/>
    </row>
    <row r="114" spans="1:12" ht="7.9" customHeight="1" x14ac:dyDescent="0.25">
      <c r="A114" s="33"/>
      <c r="B114" s="32"/>
      <c r="C114" s="34"/>
      <c r="D114" s="34"/>
      <c r="E114" s="34"/>
      <c r="F114" s="34"/>
      <c r="G114" s="34"/>
      <c r="H114" s="34"/>
      <c r="I114" s="32"/>
    </row>
    <row r="115" spans="1:12" ht="15.6" customHeight="1" x14ac:dyDescent="0.25">
      <c r="A115" s="128" t="s">
        <v>119</v>
      </c>
      <c r="B115" s="128" t="s">
        <v>12</v>
      </c>
      <c r="C115" s="128" t="s">
        <v>120</v>
      </c>
      <c r="D115" s="128" t="s">
        <v>121</v>
      </c>
      <c r="E115" s="131" t="s">
        <v>14</v>
      </c>
      <c r="F115" s="134" t="s">
        <v>16</v>
      </c>
      <c r="G115" s="135"/>
      <c r="H115" s="135"/>
      <c r="I115" s="136"/>
    </row>
    <row r="116" spans="1:12" ht="19.899999999999999" customHeight="1" x14ac:dyDescent="0.25">
      <c r="A116" s="129"/>
      <c r="B116" s="129"/>
      <c r="C116" s="129"/>
      <c r="D116" s="129"/>
      <c r="E116" s="132"/>
      <c r="F116" s="11" t="s">
        <v>17</v>
      </c>
      <c r="G116" s="11" t="s">
        <v>18</v>
      </c>
      <c r="H116" s="11" t="s">
        <v>218</v>
      </c>
      <c r="I116" s="137" t="s">
        <v>19</v>
      </c>
    </row>
    <row r="117" spans="1:12" ht="36.6" customHeight="1" x14ac:dyDescent="0.25">
      <c r="A117" s="130"/>
      <c r="B117" s="130"/>
      <c r="C117" s="130"/>
      <c r="D117" s="130"/>
      <c r="E117" s="133"/>
      <c r="F117" s="11" t="s">
        <v>20</v>
      </c>
      <c r="G117" s="11" t="s">
        <v>21</v>
      </c>
      <c r="H117" s="11" t="s">
        <v>22</v>
      </c>
      <c r="I117" s="138"/>
    </row>
    <row r="118" spans="1:12" ht="14.45" customHeight="1" x14ac:dyDescent="0.25">
      <c r="A118" s="19">
        <v>1</v>
      </c>
      <c r="B118" s="11">
        <v>2</v>
      </c>
      <c r="C118" s="11">
        <v>3</v>
      </c>
      <c r="D118" s="11">
        <v>4</v>
      </c>
      <c r="E118" s="12" t="s">
        <v>122</v>
      </c>
      <c r="F118" s="11">
        <v>5</v>
      </c>
      <c r="G118" s="11">
        <v>6</v>
      </c>
      <c r="H118" s="11">
        <v>7</v>
      </c>
      <c r="I118" s="11">
        <v>8</v>
      </c>
    </row>
    <row r="119" spans="1:12" ht="21" customHeight="1" x14ac:dyDescent="0.25">
      <c r="A119" s="19">
        <v>1</v>
      </c>
      <c r="B119" s="35" t="s">
        <v>123</v>
      </c>
      <c r="C119" s="25">
        <v>26000</v>
      </c>
      <c r="D119" s="25" t="s">
        <v>25</v>
      </c>
      <c r="E119" s="10" t="s">
        <v>25</v>
      </c>
      <c r="F119" s="45">
        <f>F120+F121+F122+F126</f>
        <v>17739452.68</v>
      </c>
      <c r="G119" s="45">
        <f>G120+G121+G122+G126</f>
        <v>19203604.689999998</v>
      </c>
      <c r="H119" s="45">
        <f>H120+H121+H122+H126</f>
        <v>18904984.009999998</v>
      </c>
      <c r="I119" s="26">
        <f>I120+I121+I122+I126</f>
        <v>0</v>
      </c>
      <c r="J119" s="2" t="s">
        <v>190</v>
      </c>
    </row>
    <row r="120" spans="1:12" ht="145.15" customHeight="1" x14ac:dyDescent="0.25">
      <c r="A120" s="36" t="s">
        <v>124</v>
      </c>
      <c r="B120" s="37" t="s">
        <v>125</v>
      </c>
      <c r="C120" s="38">
        <v>26100</v>
      </c>
      <c r="D120" s="21" t="s">
        <v>25</v>
      </c>
      <c r="E120" s="10" t="s">
        <v>25</v>
      </c>
      <c r="F120" s="22"/>
      <c r="G120" s="22"/>
      <c r="H120" s="22"/>
      <c r="I120" s="22"/>
      <c r="J120" s="2" t="s">
        <v>193</v>
      </c>
    </row>
    <row r="121" spans="1:12" ht="40.9" customHeight="1" x14ac:dyDescent="0.25">
      <c r="A121" s="36" t="s">
        <v>126</v>
      </c>
      <c r="B121" s="37" t="s">
        <v>127</v>
      </c>
      <c r="C121" s="38">
        <v>26200</v>
      </c>
      <c r="D121" s="21" t="s">
        <v>25</v>
      </c>
      <c r="E121" s="10" t="s">
        <v>25</v>
      </c>
      <c r="F121" s="22"/>
      <c r="G121" s="22"/>
      <c r="H121" s="22"/>
      <c r="I121" s="22"/>
    </row>
    <row r="122" spans="1:12" ht="39" customHeight="1" x14ac:dyDescent="0.25">
      <c r="A122" s="36" t="s">
        <v>128</v>
      </c>
      <c r="B122" s="37" t="s">
        <v>129</v>
      </c>
      <c r="C122" s="38">
        <v>26300</v>
      </c>
      <c r="D122" s="21" t="s">
        <v>25</v>
      </c>
      <c r="E122" s="10" t="s">
        <v>25</v>
      </c>
      <c r="F122" s="22">
        <v>4552108.6100000003</v>
      </c>
      <c r="G122" s="22">
        <v>0</v>
      </c>
      <c r="H122" s="22">
        <v>0</v>
      </c>
      <c r="I122" s="22"/>
      <c r="J122" s="2" t="s">
        <v>182</v>
      </c>
    </row>
    <row r="123" spans="1:12" ht="14.45" customHeight="1" x14ac:dyDescent="0.25">
      <c r="A123" s="39" t="s">
        <v>130</v>
      </c>
      <c r="B123" s="37" t="s">
        <v>131</v>
      </c>
      <c r="C123" s="38">
        <v>26310</v>
      </c>
      <c r="D123" s="21" t="s">
        <v>25</v>
      </c>
      <c r="E123" s="40" t="s">
        <v>25</v>
      </c>
      <c r="F123" s="44">
        <f>F122</f>
        <v>4552108.6100000003</v>
      </c>
      <c r="G123" s="22"/>
      <c r="H123" s="22"/>
      <c r="I123" s="22"/>
    </row>
    <row r="124" spans="1:12" x14ac:dyDescent="0.25">
      <c r="A124" s="39"/>
      <c r="B124" s="37" t="s">
        <v>191</v>
      </c>
      <c r="C124" s="38" t="s">
        <v>132</v>
      </c>
      <c r="D124" s="21" t="s">
        <v>25</v>
      </c>
      <c r="E124" s="10">
        <v>150</v>
      </c>
      <c r="F124" s="22">
        <v>45350</v>
      </c>
      <c r="G124" s="22"/>
      <c r="H124" s="22"/>
      <c r="I124" s="22"/>
      <c r="J124" s="53">
        <v>6130</v>
      </c>
      <c r="K124" s="53"/>
    </row>
    <row r="125" spans="1:12" ht="15.6" customHeight="1" x14ac:dyDescent="0.25">
      <c r="A125" s="39" t="s">
        <v>133</v>
      </c>
      <c r="B125" s="37" t="s">
        <v>134</v>
      </c>
      <c r="C125" s="38">
        <v>26320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2" ht="39.6" customHeight="1" x14ac:dyDescent="0.25">
      <c r="A126" s="36" t="s">
        <v>135</v>
      </c>
      <c r="B126" s="37" t="s">
        <v>136</v>
      </c>
      <c r="C126" s="38">
        <v>26400</v>
      </c>
      <c r="D126" s="21" t="s">
        <v>25</v>
      </c>
      <c r="E126" s="10" t="s">
        <v>25</v>
      </c>
      <c r="F126" s="44">
        <f>F127+F130+F137+F139+F142</f>
        <v>13187344.07</v>
      </c>
      <c r="G126" s="44">
        <f>G127+G130+G137+G139+G142</f>
        <v>19203604.689999998</v>
      </c>
      <c r="H126" s="44">
        <f>H127+H130+H137+H139+H142</f>
        <v>18904984.009999998</v>
      </c>
      <c r="I126" s="22">
        <f>I127+I130+I137+I139+I142</f>
        <v>0</v>
      </c>
      <c r="J126" s="50" t="s">
        <v>186</v>
      </c>
      <c r="K126" s="6"/>
      <c r="L126" s="6"/>
    </row>
    <row r="127" spans="1:12" ht="38.450000000000003" customHeight="1" x14ac:dyDescent="0.25">
      <c r="A127" s="39" t="s">
        <v>137</v>
      </c>
      <c r="B127" s="37" t="s">
        <v>138</v>
      </c>
      <c r="C127" s="38">
        <v>26410</v>
      </c>
      <c r="D127" s="21" t="s">
        <v>25</v>
      </c>
      <c r="E127" s="10" t="s">
        <v>25</v>
      </c>
      <c r="F127" s="44">
        <f>F128+F129</f>
        <v>2937938.8200000003</v>
      </c>
      <c r="G127" s="44">
        <f>G128+G129</f>
        <v>6583666.3699999973</v>
      </c>
      <c r="H127" s="44">
        <f>H128+H129</f>
        <v>6561152.8499999996</v>
      </c>
      <c r="I127" s="22">
        <f>I128+I129</f>
        <v>0</v>
      </c>
      <c r="J127" s="2" t="s">
        <v>185</v>
      </c>
      <c r="K127" s="2" t="s">
        <v>188</v>
      </c>
    </row>
    <row r="128" spans="1:12" ht="26.25" x14ac:dyDescent="0.25">
      <c r="A128" s="39" t="s">
        <v>139</v>
      </c>
      <c r="B128" s="37" t="s">
        <v>140</v>
      </c>
      <c r="C128" s="38">
        <v>26411</v>
      </c>
      <c r="D128" s="21" t="s">
        <v>25</v>
      </c>
      <c r="E128" s="10" t="s">
        <v>25</v>
      </c>
      <c r="F128" s="44">
        <f>F88-F122-F130-F142-F120</f>
        <v>2937938.8200000003</v>
      </c>
      <c r="G128" s="44">
        <f>G88-G122-G130-G142</f>
        <v>6583666.3699999973</v>
      </c>
      <c r="H128" s="44">
        <f>H88-H122-H130-H142</f>
        <v>6561152.8499999996</v>
      </c>
      <c r="I128" s="22"/>
      <c r="J128" s="2" t="s">
        <v>183</v>
      </c>
    </row>
    <row r="129" spans="1:12" ht="19.899999999999999" customHeight="1" x14ac:dyDescent="0.25">
      <c r="A129" s="39" t="s">
        <v>141</v>
      </c>
      <c r="B129" s="37" t="s">
        <v>142</v>
      </c>
      <c r="C129" s="21">
        <v>26412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28.9" customHeight="1" x14ac:dyDescent="0.25">
      <c r="A130" s="39" t="s">
        <v>143</v>
      </c>
      <c r="B130" s="37" t="s">
        <v>144</v>
      </c>
      <c r="C130" s="38">
        <v>26420</v>
      </c>
      <c r="D130" s="21" t="s">
        <v>25</v>
      </c>
      <c r="E130" s="10" t="s">
        <v>25</v>
      </c>
      <c r="F130" s="44">
        <f>F131+F136</f>
        <v>10057405.25</v>
      </c>
      <c r="G130" s="44">
        <f>G131+G136</f>
        <v>12537272.84</v>
      </c>
      <c r="H130" s="44">
        <f>H131+H136</f>
        <v>12261165.679999998</v>
      </c>
      <c r="I130" s="22">
        <f>I131+I136</f>
        <v>0</v>
      </c>
      <c r="J130" s="2" t="s">
        <v>189</v>
      </c>
    </row>
    <row r="131" spans="1:12" ht="26.45" customHeight="1" x14ac:dyDescent="0.25">
      <c r="A131" s="39" t="s">
        <v>145</v>
      </c>
      <c r="B131" s="37" t="s">
        <v>140</v>
      </c>
      <c r="C131" s="38">
        <v>26421</v>
      </c>
      <c r="D131" s="21" t="s">
        <v>25</v>
      </c>
      <c r="E131" s="10" t="s">
        <v>25</v>
      </c>
      <c r="F131" s="82">
        <f>F35-76804.92-23195.08-F49-F124</f>
        <v>10057405.25</v>
      </c>
      <c r="G131" s="44">
        <f>G35-76804.92-23195.08-G49</f>
        <v>12537272.84</v>
      </c>
      <c r="H131" s="44">
        <f>H35-76804.92-23195.08-H49</f>
        <v>12261165.679999998</v>
      </c>
      <c r="I131" s="22"/>
      <c r="J131" s="2" t="s">
        <v>213</v>
      </c>
    </row>
    <row r="132" spans="1:12" ht="15.6" customHeight="1" x14ac:dyDescent="0.25">
      <c r="A132" s="39"/>
      <c r="B132" s="37" t="s">
        <v>146</v>
      </c>
      <c r="C132" s="38" t="s">
        <v>147</v>
      </c>
      <c r="D132" s="21" t="s">
        <v>25</v>
      </c>
      <c r="E132" s="10">
        <v>150</v>
      </c>
      <c r="F132" s="44">
        <f>F131-F133-F134-F135</f>
        <v>3925335.26</v>
      </c>
      <c r="G132" s="44">
        <f>G131-G133-G134-G135</f>
        <v>3744323.0699999994</v>
      </c>
      <c r="H132" s="44">
        <f>H131-H133-H134-H135</f>
        <v>3719766.319999998</v>
      </c>
      <c r="I132" s="22"/>
    </row>
    <row r="133" spans="1:12" ht="55.15" customHeight="1" x14ac:dyDescent="0.25">
      <c r="A133" s="39"/>
      <c r="B133" s="37" t="s">
        <v>198</v>
      </c>
      <c r="C133" s="38" t="s">
        <v>225</v>
      </c>
      <c r="D133" s="21" t="s">
        <v>25</v>
      </c>
      <c r="E133" s="10" t="s">
        <v>197</v>
      </c>
      <c r="F133" s="44">
        <f>F46</f>
        <v>4520564.6500000004</v>
      </c>
      <c r="G133" s="44">
        <v>6481945.7000000002</v>
      </c>
      <c r="H133" s="44">
        <f>H46</f>
        <v>6482395.7000000002</v>
      </c>
      <c r="I133" s="22"/>
    </row>
    <row r="134" spans="1:12" ht="59.45" customHeight="1" x14ac:dyDescent="0.25">
      <c r="A134" s="39"/>
      <c r="B134" s="37" t="s">
        <v>199</v>
      </c>
      <c r="C134" s="38" t="s">
        <v>226</v>
      </c>
      <c r="D134" s="21" t="s">
        <v>25</v>
      </c>
      <c r="E134" s="10" t="s">
        <v>197</v>
      </c>
      <c r="F134" s="44">
        <f>F47</f>
        <v>1427543.13</v>
      </c>
      <c r="G134" s="44">
        <v>2046995.37</v>
      </c>
      <c r="H134" s="44">
        <f>H47</f>
        <v>1802579.38</v>
      </c>
      <c r="I134" s="22"/>
    </row>
    <row r="135" spans="1:12" ht="53.45" customHeight="1" x14ac:dyDescent="0.25">
      <c r="A135" s="39"/>
      <c r="B135" s="37" t="s">
        <v>200</v>
      </c>
      <c r="C135" s="38" t="s">
        <v>194</v>
      </c>
      <c r="D135" s="21" t="s">
        <v>25</v>
      </c>
      <c r="E135" s="10" t="s">
        <v>197</v>
      </c>
      <c r="F135" s="44">
        <f>F48</f>
        <v>183962.21</v>
      </c>
      <c r="G135" s="44">
        <v>264008.7</v>
      </c>
      <c r="H135" s="44">
        <f>H48</f>
        <v>256424.28</v>
      </c>
      <c r="I135" s="22"/>
    </row>
    <row r="136" spans="1:12" ht="19.899999999999999" customHeight="1" x14ac:dyDescent="0.25">
      <c r="A136" s="39" t="s">
        <v>148</v>
      </c>
      <c r="B136" s="37" t="s">
        <v>142</v>
      </c>
      <c r="C136" s="38">
        <v>26422</v>
      </c>
      <c r="D136" s="21" t="s">
        <v>25</v>
      </c>
      <c r="E136" s="10" t="s">
        <v>25</v>
      </c>
      <c r="F136" s="22"/>
      <c r="G136" s="22"/>
      <c r="H136" s="22"/>
      <c r="I136" s="22"/>
    </row>
    <row r="137" spans="1:12" ht="18.600000000000001" customHeight="1" x14ac:dyDescent="0.25">
      <c r="A137" s="39" t="s">
        <v>149</v>
      </c>
      <c r="B137" s="37" t="s">
        <v>150</v>
      </c>
      <c r="C137" s="38">
        <v>26430</v>
      </c>
      <c r="D137" s="21" t="s">
        <v>25</v>
      </c>
      <c r="E137" s="10" t="s">
        <v>25</v>
      </c>
      <c r="F137" s="22"/>
      <c r="G137" s="22"/>
      <c r="H137" s="22"/>
      <c r="I137" s="22"/>
      <c r="L137" s="51">
        <f>F127+F130+F142</f>
        <v>13187344.07</v>
      </c>
    </row>
    <row r="138" spans="1:12" ht="16.899999999999999" customHeight="1" x14ac:dyDescent="0.25">
      <c r="A138" s="39"/>
      <c r="B138" s="37" t="s">
        <v>146</v>
      </c>
      <c r="C138" s="38" t="s">
        <v>151</v>
      </c>
      <c r="D138" s="21" t="s">
        <v>25</v>
      </c>
      <c r="E138" s="10"/>
      <c r="F138" s="22"/>
      <c r="G138" s="22"/>
      <c r="H138" s="22"/>
      <c r="I138" s="22"/>
    </row>
    <row r="139" spans="1:12" ht="19.149999999999999" customHeight="1" x14ac:dyDescent="0.25">
      <c r="A139" s="39" t="s">
        <v>152</v>
      </c>
      <c r="B139" s="37" t="s">
        <v>153</v>
      </c>
      <c r="C139" s="38">
        <v>26440</v>
      </c>
      <c r="D139" s="21" t="s">
        <v>25</v>
      </c>
      <c r="E139" s="10" t="s">
        <v>25</v>
      </c>
      <c r="F139" s="44">
        <f>F140+F141</f>
        <v>0</v>
      </c>
      <c r="G139" s="44">
        <f>G140+G141</f>
        <v>0</v>
      </c>
      <c r="H139" s="44">
        <f>H140+H141</f>
        <v>0</v>
      </c>
      <c r="I139" s="22">
        <f>I140+I141</f>
        <v>0</v>
      </c>
    </row>
    <row r="140" spans="1:12" ht="27.6" customHeight="1" x14ac:dyDescent="0.25">
      <c r="A140" s="39" t="s">
        <v>154</v>
      </c>
      <c r="B140" s="37" t="s">
        <v>140</v>
      </c>
      <c r="C140" s="38">
        <v>26441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9.149999999999999" customHeight="1" x14ac:dyDescent="0.25">
      <c r="A141" s="41" t="s">
        <v>155</v>
      </c>
      <c r="B141" s="37" t="s">
        <v>142</v>
      </c>
      <c r="C141" s="38">
        <v>26442</v>
      </c>
      <c r="D141" s="21" t="s">
        <v>25</v>
      </c>
      <c r="E141" s="10" t="s">
        <v>25</v>
      </c>
      <c r="F141" s="22"/>
      <c r="G141" s="22"/>
      <c r="H141" s="22"/>
      <c r="I141" s="22"/>
    </row>
    <row r="142" spans="1:12" ht="19.899999999999999" customHeight="1" x14ac:dyDescent="0.25">
      <c r="A142" s="41" t="s">
        <v>156</v>
      </c>
      <c r="B142" s="37" t="s">
        <v>157</v>
      </c>
      <c r="C142" s="38">
        <v>26450</v>
      </c>
      <c r="D142" s="21" t="s">
        <v>25</v>
      </c>
      <c r="E142" s="10" t="s">
        <v>25</v>
      </c>
      <c r="F142" s="44">
        <f>F143+F145</f>
        <v>192000</v>
      </c>
      <c r="G142" s="44">
        <f>G143+G145</f>
        <v>82665.48</v>
      </c>
      <c r="H142" s="44">
        <f>H143+H145</f>
        <v>82665.48</v>
      </c>
      <c r="I142" s="22">
        <f>I143+I145</f>
        <v>0</v>
      </c>
      <c r="J142" s="2" t="s">
        <v>187</v>
      </c>
    </row>
    <row r="143" spans="1:12" ht="26.25" x14ac:dyDescent="0.25">
      <c r="A143" s="41" t="s">
        <v>158</v>
      </c>
      <c r="B143" s="37" t="s">
        <v>140</v>
      </c>
      <c r="C143" s="38">
        <v>26451</v>
      </c>
      <c r="D143" s="21" t="s">
        <v>25</v>
      </c>
      <c r="E143" s="10" t="s">
        <v>25</v>
      </c>
      <c r="F143" s="48">
        <f>10000+10000+50000+60000+62000</f>
        <v>192000</v>
      </c>
      <c r="G143" s="48">
        <f>20665.48+62000</f>
        <v>82665.48</v>
      </c>
      <c r="H143" s="48">
        <f>20665.48+62000</f>
        <v>82665.48</v>
      </c>
      <c r="I143" s="22"/>
      <c r="J143" s="2" t="s">
        <v>184</v>
      </c>
    </row>
    <row r="144" spans="1:12" ht="19.149999999999999" customHeight="1" x14ac:dyDescent="0.25">
      <c r="A144" s="41"/>
      <c r="B144" s="37" t="s">
        <v>146</v>
      </c>
      <c r="C144" s="38" t="s">
        <v>159</v>
      </c>
      <c r="D144" s="21" t="s">
        <v>25</v>
      </c>
      <c r="E144" s="10">
        <v>150</v>
      </c>
      <c r="F144" s="49"/>
      <c r="G144" s="22"/>
      <c r="H144" s="22"/>
      <c r="I144" s="22"/>
      <c r="J144" s="53">
        <v>2130</v>
      </c>
    </row>
    <row r="145" spans="1:9" ht="19.899999999999999" customHeight="1" x14ac:dyDescent="0.25">
      <c r="A145" s="41" t="s">
        <v>160</v>
      </c>
      <c r="B145" s="37" t="s">
        <v>142</v>
      </c>
      <c r="C145" s="38">
        <v>26452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9" ht="42.6" customHeight="1" x14ac:dyDescent="0.25">
      <c r="A146" s="41" t="s">
        <v>161</v>
      </c>
      <c r="B146" s="37" t="s">
        <v>162</v>
      </c>
      <c r="C146" s="38">
        <v>26500</v>
      </c>
      <c r="D146" s="21" t="s">
        <v>25</v>
      </c>
      <c r="E146" s="10" t="s">
        <v>25</v>
      </c>
      <c r="F146" s="44">
        <f>F148+F149+F150</f>
        <v>13187344.07</v>
      </c>
      <c r="G146" s="44">
        <f>G148+G149+G150</f>
        <v>19203604.689999998</v>
      </c>
      <c r="H146" s="44">
        <f>H148+H149+H150</f>
        <v>18904984.009999998</v>
      </c>
      <c r="I146" s="22">
        <f>I147+I151</f>
        <v>0</v>
      </c>
    </row>
    <row r="147" spans="1:9" ht="15.6" customHeight="1" x14ac:dyDescent="0.25">
      <c r="A147" s="41"/>
      <c r="B147" s="37" t="s">
        <v>163</v>
      </c>
      <c r="C147" s="38">
        <v>26510</v>
      </c>
      <c r="D147" s="21"/>
      <c r="E147" s="10" t="s">
        <v>25</v>
      </c>
      <c r="F147" s="44"/>
      <c r="G147" s="44"/>
      <c r="H147" s="44"/>
      <c r="I147" s="22"/>
    </row>
    <row r="148" spans="1:9" ht="18.600000000000001" customHeight="1" x14ac:dyDescent="0.25">
      <c r="A148" s="41" t="s">
        <v>204</v>
      </c>
      <c r="B148" s="37"/>
      <c r="C148" s="38"/>
      <c r="D148" s="21">
        <v>2021</v>
      </c>
      <c r="E148" s="10"/>
      <c r="F148" s="44">
        <f>F126</f>
        <v>13187344.07</v>
      </c>
      <c r="G148" s="44"/>
      <c r="H148" s="44"/>
      <c r="I148" s="22"/>
    </row>
    <row r="149" spans="1:9" ht="19.899999999999999" customHeight="1" x14ac:dyDescent="0.25">
      <c r="A149" s="41" t="s">
        <v>205</v>
      </c>
      <c r="B149" s="37"/>
      <c r="C149" s="38"/>
      <c r="D149" s="21">
        <v>2022</v>
      </c>
      <c r="E149" s="10"/>
      <c r="F149" s="44"/>
      <c r="G149" s="44">
        <f>G126-G148-G150</f>
        <v>19203604.689999998</v>
      </c>
      <c r="H149" s="44"/>
      <c r="I149" s="22"/>
    </row>
    <row r="150" spans="1:9" ht="18" customHeight="1" x14ac:dyDescent="0.25">
      <c r="A150" s="41" t="s">
        <v>206</v>
      </c>
      <c r="B150" s="37"/>
      <c r="C150" s="38"/>
      <c r="D150" s="21">
        <v>2023</v>
      </c>
      <c r="E150" s="10"/>
      <c r="F150" s="44"/>
      <c r="G150" s="44"/>
      <c r="H150" s="44">
        <f>H126-H149-H148</f>
        <v>18904984.009999998</v>
      </c>
      <c r="I150" s="22"/>
    </row>
    <row r="151" spans="1:9" ht="16.899999999999999" customHeight="1" x14ac:dyDescent="0.25">
      <c r="A151" s="41"/>
      <c r="B151" s="37"/>
      <c r="C151" s="38"/>
      <c r="D151" s="21"/>
      <c r="E151" s="10" t="s">
        <v>25</v>
      </c>
      <c r="F151" s="22"/>
      <c r="G151" s="22"/>
      <c r="H151" s="22"/>
      <c r="I151" s="22"/>
    </row>
    <row r="152" spans="1:9" ht="39" x14ac:dyDescent="0.25">
      <c r="A152" s="41" t="s">
        <v>164</v>
      </c>
      <c r="B152" s="37" t="s">
        <v>165</v>
      </c>
      <c r="C152" s="38">
        <v>26600</v>
      </c>
      <c r="D152" s="21" t="s">
        <v>25</v>
      </c>
      <c r="E152" s="10" t="s">
        <v>25</v>
      </c>
      <c r="F152" s="44">
        <f>F153+F154</f>
        <v>0</v>
      </c>
      <c r="G152" s="44">
        <f>G153+G154</f>
        <v>0</v>
      </c>
      <c r="H152" s="44">
        <f>H153+H154</f>
        <v>0</v>
      </c>
      <c r="I152" s="22">
        <f>I153+I154</f>
        <v>0</v>
      </c>
    </row>
    <row r="153" spans="1:9" x14ac:dyDescent="0.25">
      <c r="A153" s="41"/>
      <c r="B153" s="37" t="s">
        <v>163</v>
      </c>
      <c r="C153" s="38">
        <v>26610</v>
      </c>
      <c r="D153" s="21"/>
      <c r="E153" s="10" t="s">
        <v>25</v>
      </c>
      <c r="F153" s="22"/>
      <c r="G153" s="22"/>
      <c r="H153" s="22"/>
      <c r="I153" s="22"/>
    </row>
    <row r="154" spans="1:9" x14ac:dyDescent="0.25">
      <c r="A154" s="41"/>
      <c r="B154" s="37"/>
      <c r="C154" s="21"/>
      <c r="D154" s="21"/>
      <c r="E154" s="10" t="s">
        <v>25</v>
      </c>
      <c r="F154" s="22"/>
      <c r="G154" s="22"/>
      <c r="H154" s="22"/>
      <c r="I154" s="22"/>
    </row>
    <row r="155" spans="1:9" x14ac:dyDescent="0.25">
      <c r="A155" s="33"/>
      <c r="B155" s="32"/>
      <c r="C155" s="34"/>
      <c r="D155" s="34"/>
      <c r="E155" s="34"/>
      <c r="F155" s="34"/>
      <c r="G155" s="34"/>
      <c r="H155" s="34"/>
      <c r="I155" s="32"/>
    </row>
    <row r="156" spans="1:9" x14ac:dyDescent="0.25">
      <c r="A156" s="63"/>
      <c r="B156" s="5"/>
      <c r="C156" s="64"/>
      <c r="D156" s="64"/>
      <c r="E156" s="64"/>
      <c r="F156" s="64"/>
      <c r="G156" s="64"/>
      <c r="H156" s="64"/>
      <c r="I156" s="5"/>
    </row>
    <row r="157" spans="1:9" x14ac:dyDescent="0.25">
      <c r="A157" s="65" t="s">
        <v>227</v>
      </c>
      <c r="D157" s="66"/>
      <c r="E157" s="55"/>
      <c r="F157" s="124" t="s">
        <v>208</v>
      </c>
      <c r="G157" s="124"/>
    </row>
    <row r="158" spans="1:9" x14ac:dyDescent="0.25">
      <c r="B158" s="1"/>
      <c r="C158" s="1"/>
      <c r="D158" s="67" t="s">
        <v>166</v>
      </c>
      <c r="F158" s="125" t="s">
        <v>167</v>
      </c>
      <c r="G158" s="125"/>
    </row>
    <row r="159" spans="1:9" x14ac:dyDescent="0.25">
      <c r="B159" s="1"/>
      <c r="C159" s="1"/>
      <c r="D159" s="1"/>
      <c r="E159" s="1"/>
      <c r="F159" s="1"/>
      <c r="G159" s="68"/>
    </row>
    <row r="160" spans="1:9" x14ac:dyDescent="0.25">
      <c r="A160" s="65"/>
      <c r="D160" s="66"/>
      <c r="E160" s="55"/>
      <c r="F160" s="124" t="s">
        <v>168</v>
      </c>
      <c r="G160" s="124"/>
    </row>
    <row r="161" spans="1:10" x14ac:dyDescent="0.25">
      <c r="A161" s="1" t="s">
        <v>169</v>
      </c>
      <c r="B161" s="1"/>
      <c r="C161" s="1"/>
      <c r="D161" s="67" t="s">
        <v>166</v>
      </c>
      <c r="F161" s="125" t="s">
        <v>167</v>
      </c>
      <c r="G161" s="125"/>
    </row>
    <row r="162" spans="1:10" x14ac:dyDescent="0.25">
      <c r="A162" s="65"/>
    </row>
    <row r="163" spans="1:10" ht="1.5" customHeight="1" x14ac:dyDescent="0.3">
      <c r="A163" s="65"/>
      <c r="H163" s="69"/>
      <c r="I163" s="69"/>
      <c r="J163"/>
    </row>
    <row r="164" spans="1:10" ht="18.75" x14ac:dyDescent="0.3">
      <c r="A164" s="70"/>
      <c r="B164" s="69"/>
      <c r="C164" s="69"/>
      <c r="H164" s="69"/>
      <c r="I164" s="69"/>
      <c r="J164"/>
    </row>
    <row r="165" spans="1:10" ht="18.75" x14ac:dyDescent="0.3">
      <c r="A165" s="70"/>
      <c r="B165" s="69"/>
      <c r="C165" s="69"/>
      <c r="D165" s="69"/>
      <c r="E165" s="69"/>
      <c r="F165" s="71"/>
      <c r="H165" s="69"/>
      <c r="I165" s="69"/>
      <c r="J165"/>
    </row>
    <row r="166" spans="1:10" ht="18.75" x14ac:dyDescent="0.3">
      <c r="A166" s="70"/>
      <c r="B166" s="69"/>
      <c r="C166" s="69"/>
      <c r="D166" s="69"/>
      <c r="E166" s="69"/>
      <c r="H166" s="69"/>
      <c r="I166" s="69"/>
      <c r="J166"/>
    </row>
    <row r="167" spans="1:10" ht="18.75" x14ac:dyDescent="0.25">
      <c r="A167" s="72" t="s">
        <v>209</v>
      </c>
      <c r="B167" s="72"/>
      <c r="C167" s="72"/>
      <c r="D167" s="72"/>
      <c r="E167" s="73"/>
      <c r="H167" s="5"/>
      <c r="I167" s="5"/>
    </row>
    <row r="168" spans="1:10" x14ac:dyDescent="0.25">
      <c r="A168" s="167" t="s">
        <v>170</v>
      </c>
      <c r="B168" s="167"/>
      <c r="C168" s="167"/>
      <c r="D168" s="167"/>
      <c r="E168" s="167"/>
      <c r="H168" s="5"/>
      <c r="I168" s="5"/>
    </row>
    <row r="169" spans="1:10" x14ac:dyDescent="0.25">
      <c r="C169" s="5"/>
      <c r="D169" s="5"/>
      <c r="E169" s="5"/>
      <c r="H169" s="5"/>
      <c r="I169" s="5"/>
    </row>
    <row r="170" spans="1:10" x14ac:dyDescent="0.25">
      <c r="H170" s="5"/>
      <c r="I170" s="5"/>
    </row>
    <row r="171" spans="1:10" x14ac:dyDescent="0.25">
      <c r="C171" s="5"/>
      <c r="D171" s="5"/>
      <c r="E171" s="5"/>
      <c r="F171" s="5"/>
      <c r="G171" s="5"/>
      <c r="H171" s="5"/>
      <c r="I171" s="5"/>
    </row>
    <row r="172" spans="1:10" x14ac:dyDescent="0.25">
      <c r="C172" s="5"/>
      <c r="D172" s="5"/>
      <c r="E172" s="5"/>
      <c r="F172" s="5"/>
      <c r="G172" s="5"/>
      <c r="H172" s="5"/>
      <c r="I172" s="5"/>
    </row>
    <row r="173" spans="1:10" x14ac:dyDescent="0.25">
      <c r="C173" s="5"/>
      <c r="D173" s="5"/>
      <c r="E173" s="5"/>
      <c r="F173" s="5"/>
      <c r="G173" s="5"/>
      <c r="H173" s="5"/>
      <c r="I173" s="5"/>
    </row>
    <row r="174" spans="1:10" x14ac:dyDescent="0.25">
      <c r="C174" s="5"/>
      <c r="D174" s="5"/>
      <c r="E174" s="5"/>
      <c r="F174" s="5"/>
      <c r="G174" s="5"/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E182" s="5"/>
    </row>
  </sheetData>
  <mergeCells count="114">
    <mergeCell ref="A19:B19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68:E168"/>
    <mergeCell ref="F115:I115"/>
    <mergeCell ref="I116:I117"/>
    <mergeCell ref="F157:G157"/>
    <mergeCell ref="F158:G158"/>
    <mergeCell ref="F160:G160"/>
    <mergeCell ref="F161:G161"/>
    <mergeCell ref="A108:B108"/>
    <mergeCell ref="A109:B109"/>
    <mergeCell ref="A110:B110"/>
    <mergeCell ref="A111:B111"/>
    <mergeCell ref="A113:H113"/>
    <mergeCell ref="A115:A117"/>
    <mergeCell ref="B115:B117"/>
    <mergeCell ref="C115:C117"/>
    <mergeCell ref="D115:D117"/>
    <mergeCell ref="E115:E117"/>
  </mergeCells>
  <pageMargins left="0.31496062992125984" right="0.11811023622047245" top="0.74803149606299213" bottom="0.74803149606299213" header="0" footer="0"/>
  <pageSetup paperSize="9" scale="89" fitToHeight="0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151" zoomScale="85" zoomScaleNormal="85" zoomScaleSheetLayoutView="70" workbookViewId="0">
      <selection activeCell="I150" sqref="A1:I150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3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220</v>
      </c>
    </row>
    <row r="6" spans="1:9" ht="9.6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0.9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224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0.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8.4499999999999993" customHeight="1" x14ac:dyDescent="0.25">
      <c r="I11" s="55"/>
    </row>
    <row r="12" spans="1:9" ht="15" customHeight="1" x14ac:dyDescent="0.25">
      <c r="B12" s="165" t="s">
        <v>221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222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11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11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11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11" ht="10.9" customHeight="1" x14ac:dyDescent="0.25">
      <c r="H20" s="57"/>
      <c r="I20" s="62"/>
    </row>
    <row r="21" spans="1:11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11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11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11" s="4" customFormat="1" ht="12.75" customHeight="1" x14ac:dyDescent="0.2">
      <c r="A24" s="149">
        <v>1</v>
      </c>
      <c r="B24" s="149"/>
      <c r="C24" s="83">
        <v>2</v>
      </c>
      <c r="D24" s="83">
        <v>3</v>
      </c>
      <c r="E24" s="83">
        <v>4</v>
      </c>
      <c r="F24" s="11">
        <v>5</v>
      </c>
      <c r="G24" s="11">
        <v>6</v>
      </c>
      <c r="H24" s="11">
        <v>7</v>
      </c>
      <c r="I24" s="83">
        <v>8</v>
      </c>
    </row>
    <row r="25" spans="1:11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378548.25+72228.32+21310+109334.52</f>
        <v>581421.09</v>
      </c>
      <c r="G25" s="13">
        <v>0</v>
      </c>
      <c r="H25" s="13">
        <v>0</v>
      </c>
      <c r="I25" s="13">
        <v>0</v>
      </c>
    </row>
    <row r="26" spans="1:11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F25+F27-F57+F106-F110</f>
        <v>0</v>
      </c>
      <c r="G26" s="43">
        <f>G25+G27-G57-G110</f>
        <v>-7.4505805969238281E-9</v>
      </c>
      <c r="H26" s="43">
        <f>H25+H27-H57-H110</f>
        <v>-7.4505805969238281E-9</v>
      </c>
      <c r="I26" s="43">
        <v>0</v>
      </c>
    </row>
    <row r="27" spans="1:11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F28+F29+F33+F34+F52+F54+F55</f>
        <v>57096842.219999999</v>
      </c>
      <c r="G27" s="42">
        <f>G28+G29+G33+G34+G52+G54+G55</f>
        <v>58668994.229999989</v>
      </c>
      <c r="H27" s="42">
        <f>H28+H29+H33+H34+H52+H54+H55</f>
        <v>58370373.54999999</v>
      </c>
      <c r="I27" s="42">
        <f>I28+I29+I33+I34+I52+I54+I55</f>
        <v>0</v>
      </c>
    </row>
    <row r="28" spans="1:11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11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F30+F32+F53</f>
        <v>43288526.969999999</v>
      </c>
      <c r="G29" s="42">
        <f>G30+G32+G53+G54</f>
        <v>42427495.909999996</v>
      </c>
      <c r="H29" s="42">
        <f>H30+H32+H53+H54</f>
        <v>42404982.389999993</v>
      </c>
      <c r="I29" s="42">
        <f>SUM(I30:I32)</f>
        <v>0</v>
      </c>
    </row>
    <row r="30" spans="1:11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</f>
        <v>43108526.969999999</v>
      </c>
      <c r="G30" s="52">
        <f>42353595.91-106100</f>
        <v>42247495.909999996</v>
      </c>
      <c r="H30" s="52">
        <f>42353595.91-128613.52</f>
        <v>42224982.389999993</v>
      </c>
      <c r="I30" s="13"/>
    </row>
    <row r="31" spans="1:11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  <c r="K31" s="4">
        <f>19998.97+12252.05</f>
        <v>32251.02</v>
      </c>
    </row>
    <row r="32" spans="1:11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180000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9.149999999999999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F35+F50+F51</f>
        <v>13796315.25</v>
      </c>
      <c r="G34" s="42">
        <f>G35</f>
        <v>16230832.84</v>
      </c>
      <c r="H34" s="42">
        <f>H35</f>
        <v>15954725.679999998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86">
        <f>SUM(F37:F49)</f>
        <v>13796315.25</v>
      </c>
      <c r="G35" s="86">
        <f>SUM(G37:G52)</f>
        <v>16230832.84</v>
      </c>
      <c r="H35" s="86">
        <f>SUM(H37:H49)</f>
        <v>15954725.679999998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172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173</v>
      </c>
      <c r="B38" s="149"/>
      <c r="C38" s="19"/>
      <c r="D38" s="12"/>
      <c r="E38" s="11"/>
      <c r="F38" s="20">
        <v>52050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174</v>
      </c>
      <c r="B40" s="149"/>
      <c r="C40" s="12"/>
      <c r="D40" s="12"/>
      <c r="E40" s="11"/>
      <c r="F40" s="84">
        <v>100000</v>
      </c>
      <c r="G40" s="84"/>
      <c r="H40" s="84"/>
      <c r="I40" s="13"/>
    </row>
    <row r="41" spans="1:9" s="46" customFormat="1" ht="29.45" customHeight="1" x14ac:dyDescent="0.2">
      <c r="A41" s="149" t="s">
        <v>175</v>
      </c>
      <c r="B41" s="149"/>
      <c r="C41" s="12"/>
      <c r="D41" s="12"/>
      <c r="E41" s="11"/>
      <c r="F41" s="84">
        <v>45350</v>
      </c>
      <c r="G41" s="84">
        <v>45350</v>
      </c>
      <c r="H41" s="84">
        <v>45350</v>
      </c>
      <c r="I41" s="13"/>
    </row>
    <row r="42" spans="1:9" s="46" customFormat="1" ht="43.15" customHeight="1" x14ac:dyDescent="0.2">
      <c r="A42" s="149" t="s">
        <v>176</v>
      </c>
      <c r="B42" s="149"/>
      <c r="C42" s="12"/>
      <c r="D42" s="12"/>
      <c r="E42" s="11"/>
      <c r="F42" s="84">
        <v>22330.32</v>
      </c>
      <c r="G42" s="84">
        <v>25100</v>
      </c>
      <c r="H42" s="84">
        <v>22330.32</v>
      </c>
      <c r="I42" s="13"/>
    </row>
    <row r="43" spans="1:9" s="46" customFormat="1" ht="70.900000000000006" customHeight="1" x14ac:dyDescent="0.2">
      <c r="A43" s="147" t="s">
        <v>177</v>
      </c>
      <c r="B43" s="148"/>
      <c r="C43" s="12"/>
      <c r="D43" s="12"/>
      <c r="E43" s="11"/>
      <c r="F43" s="84">
        <v>8036</v>
      </c>
      <c r="G43" s="84">
        <v>11600</v>
      </c>
      <c r="H43" s="84">
        <v>8036</v>
      </c>
      <c r="I43" s="13"/>
    </row>
    <row r="44" spans="1:9" s="46" customFormat="1" ht="42.6" customHeight="1" x14ac:dyDescent="0.2">
      <c r="A44" s="149" t="s">
        <v>178</v>
      </c>
      <c r="B44" s="149"/>
      <c r="C44" s="12"/>
      <c r="D44" s="12"/>
      <c r="E44" s="11"/>
      <c r="F44" s="84">
        <v>236850</v>
      </c>
      <c r="G44" s="84">
        <v>236850</v>
      </c>
      <c r="H44" s="84">
        <v>236850</v>
      </c>
      <c r="I44" s="13"/>
    </row>
    <row r="45" spans="1:9" s="46" customFormat="1" ht="45" customHeight="1" x14ac:dyDescent="0.2">
      <c r="A45" s="149" t="s">
        <v>192</v>
      </c>
      <c r="B45" s="149"/>
      <c r="C45" s="12"/>
      <c r="D45" s="47"/>
      <c r="E45" s="11"/>
      <c r="F45" s="84">
        <v>1957200</v>
      </c>
      <c r="G45" s="84">
        <v>1957200</v>
      </c>
      <c r="H45" s="84">
        <v>1957200</v>
      </c>
      <c r="I45" s="13"/>
    </row>
    <row r="46" spans="1:9" s="46" customFormat="1" ht="55.9" customHeight="1" x14ac:dyDescent="0.2">
      <c r="A46" s="152" t="s">
        <v>201</v>
      </c>
      <c r="B46" s="153"/>
      <c r="C46" s="79"/>
      <c r="D46" s="80"/>
      <c r="E46" s="81"/>
      <c r="F46" s="85">
        <v>4520564.6500000004</v>
      </c>
      <c r="G46" s="84">
        <v>6686413.75</v>
      </c>
      <c r="H46" s="84">
        <v>6482395.7000000002</v>
      </c>
      <c r="I46" s="13"/>
    </row>
    <row r="47" spans="1:9" s="46" customFormat="1" ht="54.6" customHeight="1" x14ac:dyDescent="0.2">
      <c r="A47" s="152" t="s">
        <v>202</v>
      </c>
      <c r="B47" s="153"/>
      <c r="C47" s="79"/>
      <c r="D47" s="80"/>
      <c r="E47" s="81"/>
      <c r="F47" s="85">
        <v>1427543.13</v>
      </c>
      <c r="G47" s="84">
        <v>1860220</v>
      </c>
      <c r="H47" s="84">
        <v>1802579.38</v>
      </c>
      <c r="I47" s="13"/>
    </row>
    <row r="48" spans="1:9" s="46" customFormat="1" ht="55.9" customHeight="1" x14ac:dyDescent="0.2">
      <c r="A48" s="152" t="s">
        <v>203</v>
      </c>
      <c r="B48" s="153"/>
      <c r="C48" s="79"/>
      <c r="D48" s="80"/>
      <c r="E48" s="81"/>
      <c r="F48" s="85">
        <v>183962.21</v>
      </c>
      <c r="G48" s="84">
        <v>264539.09000000003</v>
      </c>
      <c r="H48" s="84">
        <v>256424.28</v>
      </c>
      <c r="I48" s="13"/>
    </row>
    <row r="49" spans="1:9" s="46" customFormat="1" ht="82.9" customHeight="1" x14ac:dyDescent="0.2">
      <c r="A49" s="154" t="s">
        <v>223</v>
      </c>
      <c r="B49" s="155"/>
      <c r="C49" s="79"/>
      <c r="D49" s="80"/>
      <c r="E49" s="81"/>
      <c r="F49" s="85">
        <v>3593560</v>
      </c>
      <c r="G49" s="84">
        <v>3593560</v>
      </c>
      <c r="H49" s="84">
        <v>3593560</v>
      </c>
      <c r="I49" s="13"/>
    </row>
    <row r="50" spans="1:9" s="46" customFormat="1" ht="15" customHeight="1" x14ac:dyDescent="0.2">
      <c r="A50" s="149" t="s">
        <v>180</v>
      </c>
      <c r="B50" s="149"/>
      <c r="C50" s="12" t="s">
        <v>51</v>
      </c>
      <c r="D50" s="12" t="s">
        <v>47</v>
      </c>
      <c r="E50" s="11"/>
      <c r="F50" s="13"/>
      <c r="G50" s="13"/>
      <c r="H50" s="13"/>
      <c r="I50" s="13"/>
    </row>
    <row r="51" spans="1:9" s="46" customFormat="1" ht="26.25" customHeight="1" x14ac:dyDescent="0.2">
      <c r="A51" s="147" t="s">
        <v>179</v>
      </c>
      <c r="B51" s="148"/>
      <c r="C51" s="12" t="s">
        <v>52</v>
      </c>
      <c r="D51" s="12" t="s">
        <v>47</v>
      </c>
      <c r="E51" s="11"/>
      <c r="F51" s="13"/>
      <c r="G51" s="13"/>
      <c r="H51" s="13"/>
      <c r="I51" s="13"/>
    </row>
    <row r="52" spans="1:9" s="46" customFormat="1" ht="15" customHeight="1" x14ac:dyDescent="0.2">
      <c r="A52" s="149" t="s">
        <v>53</v>
      </c>
      <c r="B52" s="149"/>
      <c r="C52" s="12" t="s">
        <v>54</v>
      </c>
      <c r="D52" s="12" t="s">
        <v>55</v>
      </c>
      <c r="E52" s="11"/>
      <c r="F52" s="13"/>
      <c r="G52" s="13"/>
      <c r="H52" s="13"/>
      <c r="I52" s="13"/>
    </row>
    <row r="53" spans="1:9" s="4" customFormat="1" ht="15" customHeight="1" x14ac:dyDescent="0.2">
      <c r="A53" s="149" t="s">
        <v>56</v>
      </c>
      <c r="B53" s="149"/>
      <c r="C53" s="12" t="s">
        <v>57</v>
      </c>
      <c r="D53" s="12" t="s">
        <v>55</v>
      </c>
      <c r="E53" s="11"/>
      <c r="F53" s="13"/>
      <c r="G53" s="13"/>
      <c r="H53" s="13"/>
      <c r="I53" s="13"/>
    </row>
    <row r="54" spans="1:9" s="4" customFormat="1" ht="15" customHeight="1" x14ac:dyDescent="0.2">
      <c r="A54" s="149" t="s">
        <v>58</v>
      </c>
      <c r="B54" s="149"/>
      <c r="C54" s="12" t="s">
        <v>59</v>
      </c>
      <c r="D54" s="12" t="s">
        <v>60</v>
      </c>
      <c r="E54" s="11"/>
      <c r="F54" s="13"/>
      <c r="G54" s="13"/>
      <c r="H54" s="13"/>
      <c r="I54" s="13"/>
    </row>
    <row r="55" spans="1:9" s="4" customFormat="1" ht="15" customHeight="1" x14ac:dyDescent="0.2">
      <c r="A55" s="149" t="s">
        <v>61</v>
      </c>
      <c r="B55" s="149"/>
      <c r="C55" s="12" t="s">
        <v>62</v>
      </c>
      <c r="D55" s="12" t="s">
        <v>25</v>
      </c>
      <c r="E55" s="11"/>
      <c r="F55" s="13"/>
      <c r="G55" s="13"/>
      <c r="H55" s="13"/>
      <c r="I55" s="13"/>
    </row>
    <row r="56" spans="1:9" s="4" customFormat="1" ht="38.450000000000003" customHeight="1" x14ac:dyDescent="0.2">
      <c r="A56" s="149" t="s">
        <v>63</v>
      </c>
      <c r="B56" s="149"/>
      <c r="C56" s="12" t="s">
        <v>64</v>
      </c>
      <c r="D56" s="12" t="s">
        <v>65</v>
      </c>
      <c r="E56" s="11"/>
      <c r="F56" s="13"/>
      <c r="G56" s="13"/>
      <c r="H56" s="13"/>
      <c r="I56" s="13" t="s">
        <v>25</v>
      </c>
    </row>
    <row r="57" spans="1:9" s="4" customFormat="1" ht="15" customHeight="1" x14ac:dyDescent="0.2">
      <c r="A57" s="146" t="s">
        <v>66</v>
      </c>
      <c r="B57" s="146"/>
      <c r="C57" s="15" t="s">
        <v>67</v>
      </c>
      <c r="D57" s="15" t="s">
        <v>25</v>
      </c>
      <c r="E57" s="16">
        <v>200</v>
      </c>
      <c r="F57" s="42">
        <f>F58+F68+F75+F79+F86+F88</f>
        <v>57206176.740000002</v>
      </c>
      <c r="G57" s="42">
        <f>G58+G68+G75+G79+G86+G88</f>
        <v>58668994.229999997</v>
      </c>
      <c r="H57" s="42">
        <f>H58+H68+H75+H79+H86+H88</f>
        <v>58370373.549999997</v>
      </c>
      <c r="I57" s="17"/>
    </row>
    <row r="58" spans="1:9" s="4" customFormat="1" ht="27" customHeight="1" x14ac:dyDescent="0.2">
      <c r="A58" s="126" t="s">
        <v>68</v>
      </c>
      <c r="B58" s="126"/>
      <c r="C58" s="21">
        <v>2100</v>
      </c>
      <c r="D58" s="15" t="s">
        <v>25</v>
      </c>
      <c r="E58" s="21"/>
      <c r="F58" s="44">
        <f>F59+F60+F61+F62+F63+F64+F66</f>
        <v>39365164.539999999</v>
      </c>
      <c r="G58" s="44">
        <f>G59+G60+G61+G62+G63+G64+G66</f>
        <v>39365164.539999999</v>
      </c>
      <c r="H58" s="44">
        <f>H59+H60+H61+H62+H63+H64+H66</f>
        <v>39365164.539999999</v>
      </c>
      <c r="I58" s="22" t="s">
        <v>25</v>
      </c>
    </row>
    <row r="59" spans="1:9" s="4" customFormat="1" ht="25.5" customHeight="1" x14ac:dyDescent="0.2">
      <c r="A59" s="126" t="s">
        <v>69</v>
      </c>
      <c r="B59" s="126"/>
      <c r="C59" s="21">
        <v>2110</v>
      </c>
      <c r="D59" s="21">
        <v>111</v>
      </c>
      <c r="E59" s="21"/>
      <c r="F59" s="22">
        <f>27221908.24+90000+82949.31+76804.92+2760030.72</f>
        <v>30231693.189999998</v>
      </c>
      <c r="G59" s="22">
        <f>82949.31+27221908.24+90000+76804.92+2760030.72</f>
        <v>30231693.189999998</v>
      </c>
      <c r="H59" s="22">
        <f>82949.31+27221908.24+90000+76804.92+2760030.72</f>
        <v>30231693.189999998</v>
      </c>
      <c r="I59" s="22" t="s">
        <v>25</v>
      </c>
    </row>
    <row r="60" spans="1:9" s="4" customFormat="1" ht="15" customHeight="1" x14ac:dyDescent="0.2">
      <c r="A60" s="126" t="s">
        <v>70</v>
      </c>
      <c r="B60" s="126"/>
      <c r="C60" s="21">
        <v>2120</v>
      </c>
      <c r="D60" s="21">
        <v>112</v>
      </c>
      <c r="E60" s="21"/>
      <c r="F60" s="22">
        <v>3500</v>
      </c>
      <c r="G60" s="22">
        <v>3500</v>
      </c>
      <c r="H60" s="22">
        <v>3500</v>
      </c>
      <c r="I60" s="22" t="s">
        <v>25</v>
      </c>
    </row>
    <row r="61" spans="1:9" s="4" customFormat="1" ht="28.5" customHeight="1" x14ac:dyDescent="0.2">
      <c r="A61" s="126" t="s">
        <v>71</v>
      </c>
      <c r="B61" s="126"/>
      <c r="C61" s="21">
        <v>2130</v>
      </c>
      <c r="D61" s="21">
        <v>113</v>
      </c>
      <c r="E61" s="21"/>
      <c r="F61" s="22"/>
      <c r="G61" s="22"/>
      <c r="H61" s="22"/>
      <c r="I61" s="22" t="s">
        <v>25</v>
      </c>
    </row>
    <row r="62" spans="1:9" s="4" customFormat="1" ht="28.9" customHeight="1" x14ac:dyDescent="0.2">
      <c r="A62" s="126" t="s">
        <v>72</v>
      </c>
      <c r="B62" s="126"/>
      <c r="C62" s="21">
        <v>2140</v>
      </c>
      <c r="D62" s="21">
        <v>119</v>
      </c>
      <c r="E62" s="21"/>
      <c r="F62" s="22">
        <f>8248196.3+25050.69+23195.08+833529.28</f>
        <v>9129971.3499999996</v>
      </c>
      <c r="G62" s="22">
        <f>25050.69+8248196.3+23195.08+833529.28</f>
        <v>9129971.3499999996</v>
      </c>
      <c r="H62" s="22">
        <f>25050.69+8248196.3+23195.08+833529.28</f>
        <v>9129971.3499999996</v>
      </c>
      <c r="I62" s="22" t="s">
        <v>25</v>
      </c>
    </row>
    <row r="63" spans="1:9" s="4" customFormat="1" ht="16.899999999999999" customHeight="1" x14ac:dyDescent="0.2">
      <c r="A63" s="126" t="s">
        <v>73</v>
      </c>
      <c r="B63" s="126"/>
      <c r="C63" s="21">
        <v>2150</v>
      </c>
      <c r="D63" s="21">
        <v>131</v>
      </c>
      <c r="E63" s="21"/>
      <c r="F63" s="22"/>
      <c r="G63" s="22"/>
      <c r="H63" s="22"/>
      <c r="I63" s="22" t="s">
        <v>25</v>
      </c>
    </row>
    <row r="64" spans="1:9" s="4" customFormat="1" ht="27" customHeight="1" x14ac:dyDescent="0.2">
      <c r="A64" s="126" t="s">
        <v>74</v>
      </c>
      <c r="B64" s="126"/>
      <c r="C64" s="21">
        <v>2160</v>
      </c>
      <c r="D64" s="21">
        <v>133</v>
      </c>
      <c r="E64" s="21"/>
      <c r="F64" s="22"/>
      <c r="G64" s="22"/>
      <c r="H64" s="22"/>
      <c r="I64" s="22" t="s">
        <v>25</v>
      </c>
    </row>
    <row r="65" spans="1:9" s="4" customFormat="1" ht="15.75" customHeight="1" x14ac:dyDescent="0.2">
      <c r="A65" s="126" t="s">
        <v>75</v>
      </c>
      <c r="B65" s="126"/>
      <c r="C65" s="21">
        <v>2170</v>
      </c>
      <c r="D65" s="21">
        <v>134</v>
      </c>
      <c r="E65" s="21"/>
      <c r="F65" s="22"/>
      <c r="G65" s="22"/>
      <c r="H65" s="22"/>
      <c r="I65" s="22"/>
    </row>
    <row r="66" spans="1:9" s="4" customFormat="1" ht="30.75" customHeight="1" x14ac:dyDescent="0.2">
      <c r="A66" s="126" t="s">
        <v>76</v>
      </c>
      <c r="B66" s="126"/>
      <c r="C66" s="21">
        <v>2180</v>
      </c>
      <c r="D66" s="21">
        <v>139</v>
      </c>
      <c r="E66" s="21"/>
      <c r="F66" s="44">
        <f>F67</f>
        <v>0</v>
      </c>
      <c r="G66" s="44">
        <f>G67</f>
        <v>0</v>
      </c>
      <c r="H66" s="44">
        <f>H67</f>
        <v>0</v>
      </c>
      <c r="I66" s="22" t="s">
        <v>25</v>
      </c>
    </row>
    <row r="67" spans="1:9" s="4" customFormat="1" ht="25.5" customHeight="1" x14ac:dyDescent="0.2">
      <c r="A67" s="126" t="s">
        <v>77</v>
      </c>
      <c r="B67" s="126"/>
      <c r="C67" s="21">
        <v>2181</v>
      </c>
      <c r="D67" s="21">
        <v>139</v>
      </c>
      <c r="E67" s="21"/>
      <c r="F67" s="22"/>
      <c r="G67" s="22"/>
      <c r="H67" s="22"/>
      <c r="I67" s="22" t="s">
        <v>25</v>
      </c>
    </row>
    <row r="68" spans="1:9" s="76" customFormat="1" ht="15" customHeight="1" x14ac:dyDescent="0.2">
      <c r="A68" s="141" t="s">
        <v>78</v>
      </c>
      <c r="B68" s="141"/>
      <c r="C68" s="25">
        <v>2200</v>
      </c>
      <c r="D68" s="25">
        <v>300</v>
      </c>
      <c r="E68" s="25"/>
      <c r="F68" s="45">
        <f>F69+F72+F73+F74</f>
        <v>0</v>
      </c>
      <c r="G68" s="45">
        <f>G69+G72+G73+G74</f>
        <v>0</v>
      </c>
      <c r="H68" s="45">
        <f>H69+H72+H73+H74</f>
        <v>0</v>
      </c>
      <c r="I68" s="26" t="s">
        <v>25</v>
      </c>
    </row>
    <row r="69" spans="1:9" s="4" customFormat="1" ht="24.6" customHeight="1" x14ac:dyDescent="0.2">
      <c r="A69" s="126" t="s">
        <v>79</v>
      </c>
      <c r="B69" s="126"/>
      <c r="C69" s="21">
        <v>2210</v>
      </c>
      <c r="D69" s="21">
        <v>320</v>
      </c>
      <c r="E69" s="21"/>
      <c r="F69" s="44">
        <f>SUM(F70:F71)</f>
        <v>0</v>
      </c>
      <c r="G69" s="44">
        <f>SUM(G70:G70)</f>
        <v>0</v>
      </c>
      <c r="H69" s="44">
        <f>SUM(H70:H70)</f>
        <v>0</v>
      </c>
      <c r="I69" s="22" t="s">
        <v>25</v>
      </c>
    </row>
    <row r="70" spans="1:9" s="4" customFormat="1" ht="36.6" customHeight="1" x14ac:dyDescent="0.2">
      <c r="A70" s="126" t="s">
        <v>80</v>
      </c>
      <c r="B70" s="126"/>
      <c r="C70" s="21">
        <v>2211</v>
      </c>
      <c r="D70" s="21">
        <v>321</v>
      </c>
      <c r="E70" s="21"/>
      <c r="F70" s="22"/>
      <c r="G70" s="22"/>
      <c r="H70" s="22"/>
      <c r="I70" s="22" t="s">
        <v>25</v>
      </c>
    </row>
    <row r="71" spans="1:9" s="4" customFormat="1" ht="15.6" customHeight="1" x14ac:dyDescent="0.2">
      <c r="A71" s="139" t="s">
        <v>181</v>
      </c>
      <c r="B71" s="140"/>
      <c r="C71" s="21">
        <v>2212</v>
      </c>
      <c r="D71" s="21">
        <v>321</v>
      </c>
      <c r="E71" s="21"/>
      <c r="F71" s="22"/>
      <c r="G71" s="22"/>
      <c r="H71" s="22"/>
      <c r="I71" s="22" t="s">
        <v>25</v>
      </c>
    </row>
    <row r="72" spans="1:9" s="4" customFormat="1" ht="25.9" customHeight="1" x14ac:dyDescent="0.2">
      <c r="A72" s="126" t="s">
        <v>81</v>
      </c>
      <c r="B72" s="126"/>
      <c r="C72" s="21">
        <v>2220</v>
      </c>
      <c r="D72" s="21">
        <v>340</v>
      </c>
      <c r="E72" s="21"/>
      <c r="F72" s="22"/>
      <c r="G72" s="22"/>
      <c r="H72" s="22"/>
      <c r="I72" s="22" t="s">
        <v>25</v>
      </c>
    </row>
    <row r="73" spans="1:9" s="4" customFormat="1" ht="39" customHeight="1" x14ac:dyDescent="0.2">
      <c r="A73" s="126" t="s">
        <v>82</v>
      </c>
      <c r="B73" s="126"/>
      <c r="C73" s="21">
        <v>2230</v>
      </c>
      <c r="D73" s="21">
        <v>350</v>
      </c>
      <c r="E73" s="21"/>
      <c r="F73" s="22"/>
      <c r="G73" s="22"/>
      <c r="H73" s="22"/>
      <c r="I73" s="22" t="s">
        <v>25</v>
      </c>
    </row>
    <row r="74" spans="1:9" s="4" customFormat="1" ht="16.149999999999999" customHeight="1" x14ac:dyDescent="0.2">
      <c r="A74" s="126" t="s">
        <v>83</v>
      </c>
      <c r="B74" s="126"/>
      <c r="C74" s="21">
        <v>2240</v>
      </c>
      <c r="D74" s="21">
        <v>360</v>
      </c>
      <c r="E74" s="21"/>
      <c r="F74" s="22"/>
      <c r="G74" s="22"/>
      <c r="H74" s="22"/>
      <c r="I74" s="22" t="s">
        <v>25</v>
      </c>
    </row>
    <row r="75" spans="1:9" s="76" customFormat="1" ht="15" customHeight="1" x14ac:dyDescent="0.2">
      <c r="A75" s="141" t="s">
        <v>84</v>
      </c>
      <c r="B75" s="141"/>
      <c r="C75" s="25">
        <v>2300</v>
      </c>
      <c r="D75" s="25">
        <v>850</v>
      </c>
      <c r="E75" s="25"/>
      <c r="F75" s="45">
        <f>SUM(F76:F78)</f>
        <v>101559.52</v>
      </c>
      <c r="G75" s="45">
        <f>SUM(G76:G78)</f>
        <v>100225</v>
      </c>
      <c r="H75" s="45">
        <f>SUM(H76:H78)</f>
        <v>100225</v>
      </c>
      <c r="I75" s="26" t="s">
        <v>25</v>
      </c>
    </row>
    <row r="76" spans="1:9" s="4" customFormat="1" ht="24" customHeight="1" x14ac:dyDescent="0.2">
      <c r="A76" s="126" t="s">
        <v>85</v>
      </c>
      <c r="B76" s="126"/>
      <c r="C76" s="21">
        <v>2310</v>
      </c>
      <c r="D76" s="21">
        <v>851</v>
      </c>
      <c r="E76" s="21"/>
      <c r="F76" s="22">
        <v>87400</v>
      </c>
      <c r="G76" s="22">
        <v>87400</v>
      </c>
      <c r="H76" s="22">
        <v>87400</v>
      </c>
      <c r="I76" s="22" t="s">
        <v>25</v>
      </c>
    </row>
    <row r="77" spans="1:9" s="4" customFormat="1" ht="30" customHeight="1" x14ac:dyDescent="0.2">
      <c r="A77" s="126" t="s">
        <v>86</v>
      </c>
      <c r="B77" s="126"/>
      <c r="C77" s="21">
        <v>2320</v>
      </c>
      <c r="D77" s="21">
        <v>852</v>
      </c>
      <c r="E77" s="21"/>
      <c r="F77" s="22">
        <v>0</v>
      </c>
      <c r="G77" s="22"/>
      <c r="H77" s="22"/>
      <c r="I77" s="22" t="s">
        <v>25</v>
      </c>
    </row>
    <row r="78" spans="1:9" s="4" customFormat="1" ht="13.5" customHeight="1" x14ac:dyDescent="0.2">
      <c r="A78" s="126" t="s">
        <v>87</v>
      </c>
      <c r="B78" s="126"/>
      <c r="C78" s="21">
        <v>2330</v>
      </c>
      <c r="D78" s="21">
        <v>853</v>
      </c>
      <c r="E78" s="21"/>
      <c r="F78" s="22">
        <f>12825+1334.52</f>
        <v>14159.52</v>
      </c>
      <c r="G78" s="22">
        <v>12825</v>
      </c>
      <c r="H78" s="22">
        <v>12825</v>
      </c>
      <c r="I78" s="22" t="s">
        <v>25</v>
      </c>
    </row>
    <row r="79" spans="1:9" s="4" customFormat="1" ht="13.5" customHeight="1" x14ac:dyDescent="0.2">
      <c r="A79" s="126" t="s">
        <v>88</v>
      </c>
      <c r="B79" s="126"/>
      <c r="C79" s="21">
        <v>2400</v>
      </c>
      <c r="D79" s="21" t="s">
        <v>25</v>
      </c>
      <c r="E79" s="21"/>
      <c r="F79" s="44">
        <f>SUM(F80:F82)</f>
        <v>0</v>
      </c>
      <c r="G79" s="44">
        <f>SUM(G80:G82)</f>
        <v>0</v>
      </c>
      <c r="H79" s="44">
        <f>SUM(H80:H82)</f>
        <v>0</v>
      </c>
      <c r="I79" s="22" t="s">
        <v>25</v>
      </c>
    </row>
    <row r="80" spans="1:9" s="4" customFormat="1" ht="21.6" customHeight="1" x14ac:dyDescent="0.2">
      <c r="A80" s="126" t="s">
        <v>89</v>
      </c>
      <c r="B80" s="126"/>
      <c r="C80" s="21">
        <v>2410</v>
      </c>
      <c r="D80" s="21">
        <v>613</v>
      </c>
      <c r="E80" s="21"/>
      <c r="F80" s="22"/>
      <c r="G80" s="22"/>
      <c r="H80" s="22"/>
      <c r="I80" s="22" t="s">
        <v>25</v>
      </c>
    </row>
    <row r="81" spans="1:10" s="4" customFormat="1" ht="15" customHeight="1" x14ac:dyDescent="0.2">
      <c r="A81" s="126" t="s">
        <v>90</v>
      </c>
      <c r="B81" s="126"/>
      <c r="C81" s="21">
        <v>2420</v>
      </c>
      <c r="D81" s="21">
        <v>623</v>
      </c>
      <c r="E81" s="21"/>
      <c r="F81" s="22"/>
      <c r="G81" s="22"/>
      <c r="H81" s="22"/>
      <c r="I81" s="22" t="s">
        <v>25</v>
      </c>
    </row>
    <row r="82" spans="1:10" s="4" customFormat="1" ht="30" customHeight="1" x14ac:dyDescent="0.2">
      <c r="A82" s="126" t="s">
        <v>91</v>
      </c>
      <c r="B82" s="126"/>
      <c r="C82" s="21">
        <v>2430</v>
      </c>
      <c r="D82" s="21">
        <v>634</v>
      </c>
      <c r="E82" s="21"/>
      <c r="F82" s="22"/>
      <c r="G82" s="22"/>
      <c r="H82" s="22"/>
      <c r="I82" s="22" t="s">
        <v>25</v>
      </c>
    </row>
    <row r="83" spans="1:10" s="4" customFormat="1" ht="16.899999999999999" customHeight="1" x14ac:dyDescent="0.2">
      <c r="A83" s="139" t="s">
        <v>92</v>
      </c>
      <c r="B83" s="140"/>
      <c r="C83" s="21">
        <v>2440</v>
      </c>
      <c r="D83" s="21">
        <v>810</v>
      </c>
      <c r="E83" s="21"/>
      <c r="F83" s="22"/>
      <c r="G83" s="22"/>
      <c r="H83" s="22"/>
      <c r="I83" s="22"/>
    </row>
    <row r="84" spans="1:10" s="4" customFormat="1" ht="16.899999999999999" customHeight="1" x14ac:dyDescent="0.2">
      <c r="A84" s="139" t="s">
        <v>93</v>
      </c>
      <c r="B84" s="140"/>
      <c r="C84" s="21">
        <v>2450</v>
      </c>
      <c r="D84" s="21">
        <v>862</v>
      </c>
      <c r="E84" s="21"/>
      <c r="F84" s="22"/>
      <c r="G84" s="22"/>
      <c r="H84" s="22"/>
      <c r="I84" s="22"/>
    </row>
    <row r="85" spans="1:10" s="4" customFormat="1" ht="30.75" customHeight="1" x14ac:dyDescent="0.2">
      <c r="A85" s="139" t="s">
        <v>94</v>
      </c>
      <c r="B85" s="140"/>
      <c r="C85" s="21">
        <v>2460</v>
      </c>
      <c r="D85" s="21">
        <v>863</v>
      </c>
      <c r="E85" s="21"/>
      <c r="F85" s="22"/>
      <c r="G85" s="22"/>
      <c r="H85" s="22"/>
      <c r="I85" s="22"/>
    </row>
    <row r="86" spans="1:10" s="4" customFormat="1" ht="15" customHeight="1" x14ac:dyDescent="0.2">
      <c r="A86" s="126" t="s">
        <v>95</v>
      </c>
      <c r="B86" s="126"/>
      <c r="C86" s="21">
        <v>2500</v>
      </c>
      <c r="D86" s="21" t="s">
        <v>25</v>
      </c>
      <c r="E86" s="21"/>
      <c r="F86" s="44">
        <f>F87</f>
        <v>0</v>
      </c>
      <c r="G86" s="44">
        <f>G87</f>
        <v>0</v>
      </c>
      <c r="H86" s="44">
        <f>H87</f>
        <v>0</v>
      </c>
      <c r="I86" s="22" t="s">
        <v>25</v>
      </c>
    </row>
    <row r="87" spans="1:10" s="4" customFormat="1" ht="31.5" customHeight="1" x14ac:dyDescent="0.2">
      <c r="A87" s="126" t="s">
        <v>96</v>
      </c>
      <c r="B87" s="126"/>
      <c r="C87" s="21">
        <v>2520</v>
      </c>
      <c r="D87" s="21">
        <v>831</v>
      </c>
      <c r="E87" s="21"/>
      <c r="F87" s="22"/>
      <c r="G87" s="22"/>
      <c r="H87" s="22"/>
      <c r="I87" s="22" t="s">
        <v>25</v>
      </c>
    </row>
    <row r="88" spans="1:10" s="76" customFormat="1" ht="15" customHeight="1" x14ac:dyDescent="0.2">
      <c r="A88" s="141" t="s">
        <v>97</v>
      </c>
      <c r="B88" s="141"/>
      <c r="C88" s="25">
        <v>2600</v>
      </c>
      <c r="D88" s="25" t="s">
        <v>25</v>
      </c>
      <c r="E88" s="25"/>
      <c r="F88" s="45">
        <f>F89+F90+F91+F103+F100</f>
        <v>17739452.68</v>
      </c>
      <c r="G88" s="45">
        <f>G89+G90+G91+G103+G100</f>
        <v>19203604.689999998</v>
      </c>
      <c r="H88" s="45">
        <f>H89+H90+H91+H103+H100</f>
        <v>18904984.009999998</v>
      </c>
      <c r="I88" s="26"/>
    </row>
    <row r="89" spans="1:10" s="4" customFormat="1" ht="30" customHeight="1" x14ac:dyDescent="0.2">
      <c r="A89" s="126" t="s">
        <v>98</v>
      </c>
      <c r="B89" s="126"/>
      <c r="C89" s="21">
        <v>2610</v>
      </c>
      <c r="D89" s="21">
        <v>241</v>
      </c>
      <c r="E89" s="21"/>
      <c r="F89" s="22"/>
      <c r="G89" s="22"/>
      <c r="H89" s="22"/>
      <c r="I89" s="22"/>
    </row>
    <row r="90" spans="1:10" s="4" customFormat="1" ht="27.75" customHeight="1" x14ac:dyDescent="0.2">
      <c r="A90" s="126" t="s">
        <v>99</v>
      </c>
      <c r="B90" s="126"/>
      <c r="C90" s="21">
        <v>2630</v>
      </c>
      <c r="D90" s="21">
        <v>243</v>
      </c>
      <c r="E90" s="21"/>
      <c r="F90" s="22"/>
      <c r="G90" s="22"/>
      <c r="H90" s="22"/>
      <c r="I90" s="22"/>
    </row>
    <row r="91" spans="1:10" s="76" customFormat="1" ht="15" customHeight="1" x14ac:dyDescent="0.2">
      <c r="A91" s="141" t="s">
        <v>100</v>
      </c>
      <c r="B91" s="141"/>
      <c r="C91" s="25">
        <v>2640</v>
      </c>
      <c r="D91" s="25">
        <v>244</v>
      </c>
      <c r="E91" s="25"/>
      <c r="F91" s="45">
        <f>SUM(F92:F99)</f>
        <v>15181730.02</v>
      </c>
      <c r="G91" s="45">
        <f>SUM(G92:G98)</f>
        <v>16852416.689999998</v>
      </c>
      <c r="H91" s="45">
        <f>SUM(H92:H98)</f>
        <v>16553796.009999998</v>
      </c>
      <c r="I91" s="26"/>
    </row>
    <row r="92" spans="1:10" s="4" customFormat="1" ht="14.45" customHeight="1" x14ac:dyDescent="0.2">
      <c r="A92" s="144" t="s">
        <v>101</v>
      </c>
      <c r="B92" s="145"/>
      <c r="C92" s="21"/>
      <c r="D92" s="23"/>
      <c r="E92" s="21"/>
      <c r="F92" s="22"/>
      <c r="G92" s="22"/>
      <c r="H92" s="22"/>
      <c r="I92" s="22"/>
    </row>
    <row r="93" spans="1:10" s="4" customFormat="1" ht="16.149999999999999" customHeight="1" x14ac:dyDescent="0.2">
      <c r="A93" s="126" t="s">
        <v>102</v>
      </c>
      <c r="B93" s="126"/>
      <c r="C93" s="21">
        <v>2641</v>
      </c>
      <c r="D93" s="23" t="s">
        <v>103</v>
      </c>
      <c r="E93" s="21"/>
      <c r="F93" s="22">
        <v>235839.01</v>
      </c>
      <c r="G93" s="22">
        <v>234490.45</v>
      </c>
      <c r="H93" s="22">
        <v>234490.45</v>
      </c>
      <c r="I93" s="22"/>
    </row>
    <row r="94" spans="1:10" s="4" customFormat="1" ht="13.15" customHeight="1" x14ac:dyDescent="0.2">
      <c r="A94" s="126" t="s">
        <v>104</v>
      </c>
      <c r="B94" s="126"/>
      <c r="C94" s="21">
        <v>2642</v>
      </c>
      <c r="D94" s="23" t="s">
        <v>103</v>
      </c>
      <c r="E94" s="21"/>
      <c r="F94" s="22">
        <f>30000+294220.46</f>
        <v>324220.46000000002</v>
      </c>
      <c r="G94" s="22">
        <v>290000</v>
      </c>
      <c r="H94" s="22">
        <v>290000</v>
      </c>
      <c r="I94" s="22"/>
      <c r="J94" s="4">
        <f>48206.02+36833.16</f>
        <v>85039.18</v>
      </c>
    </row>
    <row r="95" spans="1:10" s="4" customFormat="1" ht="15" customHeight="1" x14ac:dyDescent="0.2">
      <c r="A95" s="144" t="s">
        <v>105</v>
      </c>
      <c r="B95" s="145"/>
      <c r="C95" s="24">
        <v>2643</v>
      </c>
      <c r="D95" s="23" t="s">
        <v>103</v>
      </c>
      <c r="E95" s="21"/>
      <c r="F95" s="22">
        <f>46000+263319.7+52050+140000+10000</f>
        <v>511369.7</v>
      </c>
      <c r="G95" s="22">
        <f>273209.72+50000</f>
        <v>323209.71999999997</v>
      </c>
      <c r="H95" s="22">
        <f>273209.72+50000</f>
        <v>323209.71999999997</v>
      </c>
      <c r="I95" s="22"/>
    </row>
    <row r="96" spans="1:10" s="4" customFormat="1" ht="14.45" customHeight="1" x14ac:dyDescent="0.2">
      <c r="A96" s="126" t="s">
        <v>106</v>
      </c>
      <c r="B96" s="126"/>
      <c r="C96" s="21">
        <v>2644</v>
      </c>
      <c r="D96" s="23" t="s">
        <v>103</v>
      </c>
      <c r="E96" s="21"/>
      <c r="F96" s="22">
        <f>511600+598400+1549183+6132069.99+45350+22330.32+8036+236850+204782.5+10000</f>
        <v>9318601.8100000005</v>
      </c>
      <c r="G96" s="22">
        <f>535232.88+1799245.32+205000+8792949.77+45350+25100+11600+236850+18223.07</f>
        <v>11669551.039999999</v>
      </c>
      <c r="H96" s="22">
        <f>535232.88+1799245.32+205000+45350+22330.32+8036+236850+8541399.36</f>
        <v>11393443.879999999</v>
      </c>
      <c r="I96" s="22"/>
    </row>
    <row r="97" spans="1:9" s="4" customFormat="1" ht="16.149999999999999" customHeight="1" x14ac:dyDescent="0.2">
      <c r="A97" s="126" t="s">
        <v>107</v>
      </c>
      <c r="B97" s="126"/>
      <c r="C97" s="24">
        <v>2645</v>
      </c>
      <c r="D97" s="23" t="s">
        <v>103</v>
      </c>
      <c r="E97" s="21"/>
      <c r="F97" s="22">
        <f>1498868.94+1857200+10000+100000+50000</f>
        <v>3516068.94</v>
      </c>
      <c r="G97" s="22">
        <f>1857200+1500000</f>
        <v>3357200</v>
      </c>
      <c r="H97" s="22">
        <f>1857200+1500000</f>
        <v>3357200</v>
      </c>
      <c r="I97" s="22"/>
    </row>
    <row r="98" spans="1:9" s="4" customFormat="1" ht="13.9" customHeight="1" x14ac:dyDescent="0.2">
      <c r="A98" s="126" t="s">
        <v>108</v>
      </c>
      <c r="B98" s="126"/>
      <c r="C98" s="24">
        <v>2646</v>
      </c>
      <c r="D98" s="23" t="s">
        <v>103</v>
      </c>
      <c r="E98" s="21"/>
      <c r="F98" s="22">
        <f>6913.45+489716.65+610000+22000+25000+60000+62000</f>
        <v>1275630.1000000001</v>
      </c>
      <c r="G98" s="22">
        <f>20665.48+62000+654400+300000+22000+25000-106100</f>
        <v>977965.48</v>
      </c>
      <c r="H98" s="22">
        <f>20665.48+62000+654400+300000+22000+25000-128613.52</f>
        <v>955451.96</v>
      </c>
      <c r="I98" s="22"/>
    </row>
    <row r="99" spans="1:9" s="4" customFormat="1" ht="10.15" customHeight="1" x14ac:dyDescent="0.2">
      <c r="A99" s="139"/>
      <c r="B99" s="140"/>
      <c r="C99" s="24"/>
      <c r="D99" s="23"/>
      <c r="E99" s="21"/>
      <c r="F99" s="22"/>
      <c r="G99" s="22"/>
      <c r="H99" s="22"/>
      <c r="I99" s="22"/>
    </row>
    <row r="100" spans="1:9" s="76" customFormat="1" ht="17.45" customHeight="1" x14ac:dyDescent="0.2">
      <c r="A100" s="142" t="s">
        <v>211</v>
      </c>
      <c r="B100" s="143" t="s">
        <v>211</v>
      </c>
      <c r="C100" s="74">
        <v>2650</v>
      </c>
      <c r="D100" s="75" t="s">
        <v>212</v>
      </c>
      <c r="E100" s="25"/>
      <c r="F100" s="77">
        <f>F102</f>
        <v>2557722.66</v>
      </c>
      <c r="G100" s="77">
        <f>G102</f>
        <v>2351188</v>
      </c>
      <c r="H100" s="77">
        <f>H102</f>
        <v>2351188</v>
      </c>
      <c r="I100" s="26"/>
    </row>
    <row r="101" spans="1:9" s="4" customFormat="1" ht="17.45" customHeight="1" x14ac:dyDescent="0.2">
      <c r="A101" s="144" t="s">
        <v>50</v>
      </c>
      <c r="B101" s="145" t="s">
        <v>50</v>
      </c>
      <c r="C101" s="24"/>
      <c r="D101" s="23"/>
      <c r="E101" s="21"/>
      <c r="F101" s="22"/>
      <c r="G101" s="22"/>
      <c r="H101" s="22"/>
      <c r="I101" s="22"/>
    </row>
    <row r="102" spans="1:9" s="4" customFormat="1" ht="17.45" customHeight="1" x14ac:dyDescent="0.2">
      <c r="A102" s="144" t="s">
        <v>104</v>
      </c>
      <c r="B102" s="145" t="s">
        <v>104</v>
      </c>
      <c r="C102" s="24">
        <v>2651</v>
      </c>
      <c r="D102" s="23" t="s">
        <v>212</v>
      </c>
      <c r="E102" s="21"/>
      <c r="F102" s="22">
        <f>400439.67+2157282.99</f>
        <v>2557722.66</v>
      </c>
      <c r="G102" s="22">
        <v>2351188</v>
      </c>
      <c r="H102" s="22">
        <v>2351188</v>
      </c>
      <c r="I102" s="22"/>
    </row>
    <row r="103" spans="1:9" s="4" customFormat="1" ht="21.6" customHeight="1" x14ac:dyDescent="0.2">
      <c r="A103" s="139" t="s">
        <v>109</v>
      </c>
      <c r="B103" s="140"/>
      <c r="C103" s="21">
        <v>2650</v>
      </c>
      <c r="D103" s="21">
        <v>400</v>
      </c>
      <c r="E103" s="21"/>
      <c r="F103" s="22">
        <f>F104+F105</f>
        <v>0</v>
      </c>
      <c r="G103" s="22">
        <f>G104+G105</f>
        <v>0</v>
      </c>
      <c r="H103" s="22">
        <f>H104+H105</f>
        <v>0</v>
      </c>
      <c r="I103" s="22">
        <f>I104+I105</f>
        <v>0</v>
      </c>
    </row>
    <row r="104" spans="1:9" s="4" customFormat="1" ht="37.9" customHeight="1" x14ac:dyDescent="0.2">
      <c r="A104" s="139" t="s">
        <v>110</v>
      </c>
      <c r="B104" s="140"/>
      <c r="C104" s="21">
        <v>2651</v>
      </c>
      <c r="D104" s="21">
        <v>406</v>
      </c>
      <c r="E104" s="21"/>
      <c r="F104" s="22"/>
      <c r="G104" s="22"/>
      <c r="H104" s="22"/>
      <c r="I104" s="22"/>
    </row>
    <row r="105" spans="1:9" s="4" customFormat="1" ht="30" customHeight="1" x14ac:dyDescent="0.2">
      <c r="A105" s="139" t="s">
        <v>111</v>
      </c>
      <c r="B105" s="140"/>
      <c r="C105" s="21">
        <v>2652</v>
      </c>
      <c r="D105" s="21">
        <v>407</v>
      </c>
      <c r="E105" s="21"/>
      <c r="F105" s="22"/>
      <c r="G105" s="22"/>
      <c r="H105" s="22"/>
      <c r="I105" s="22"/>
    </row>
    <row r="106" spans="1:9" s="4" customFormat="1" ht="15" customHeight="1" x14ac:dyDescent="0.2">
      <c r="A106" s="141" t="s">
        <v>112</v>
      </c>
      <c r="B106" s="141"/>
      <c r="C106" s="25">
        <v>3000</v>
      </c>
      <c r="D106" s="25">
        <v>100</v>
      </c>
      <c r="E106" s="21"/>
      <c r="F106" s="45">
        <f>SUM(F107:F109)</f>
        <v>0</v>
      </c>
      <c r="G106" s="45">
        <f>SUM(G107:G109)</f>
        <v>0</v>
      </c>
      <c r="H106" s="45">
        <f>SUM(H107:H109)</f>
        <v>0</v>
      </c>
      <c r="I106" s="26" t="s">
        <v>25</v>
      </c>
    </row>
    <row r="107" spans="1:9" s="4" customFormat="1" ht="26.25" customHeight="1" x14ac:dyDescent="0.2">
      <c r="A107" s="126" t="s">
        <v>113</v>
      </c>
      <c r="B107" s="126"/>
      <c r="C107" s="21">
        <v>3010</v>
      </c>
      <c r="D107" s="21"/>
      <c r="E107" s="25"/>
      <c r="F107" s="22"/>
      <c r="G107" s="22"/>
      <c r="H107" s="22"/>
      <c r="I107" s="22" t="s">
        <v>25</v>
      </c>
    </row>
    <row r="108" spans="1:9" s="4" customFormat="1" ht="15" customHeight="1" x14ac:dyDescent="0.2">
      <c r="A108" s="126" t="s">
        <v>114</v>
      </c>
      <c r="B108" s="126"/>
      <c r="C108" s="21">
        <v>3020</v>
      </c>
      <c r="D108" s="21"/>
      <c r="E108" s="21"/>
      <c r="F108" s="22"/>
      <c r="G108" s="22"/>
      <c r="H108" s="22"/>
      <c r="I108" s="22" t="s">
        <v>25</v>
      </c>
    </row>
    <row r="109" spans="1:9" s="4" customFormat="1" ht="15" customHeight="1" x14ac:dyDescent="0.2">
      <c r="A109" s="126" t="s">
        <v>115</v>
      </c>
      <c r="B109" s="126"/>
      <c r="C109" s="21">
        <v>3030</v>
      </c>
      <c r="D109" s="21"/>
      <c r="E109" s="21"/>
      <c r="F109" s="22"/>
      <c r="G109" s="22"/>
      <c r="H109" s="22"/>
      <c r="I109" s="22" t="s">
        <v>25</v>
      </c>
    </row>
    <row r="110" spans="1:9" s="4" customFormat="1" ht="15" customHeight="1" x14ac:dyDescent="0.2">
      <c r="A110" s="141" t="s">
        <v>116</v>
      </c>
      <c r="B110" s="141"/>
      <c r="C110" s="25">
        <v>4000</v>
      </c>
      <c r="D110" s="25" t="s">
        <v>25</v>
      </c>
      <c r="E110" s="21"/>
      <c r="F110" s="45">
        <f>F111</f>
        <v>472086.57</v>
      </c>
      <c r="G110" s="26">
        <f>G111</f>
        <v>0</v>
      </c>
      <c r="H110" s="26">
        <f>H111</f>
        <v>0</v>
      </c>
      <c r="I110" s="26" t="s">
        <v>25</v>
      </c>
    </row>
    <row r="111" spans="1:9" s="4" customFormat="1" ht="25.5" customHeight="1" x14ac:dyDescent="0.2">
      <c r="A111" s="126" t="s">
        <v>117</v>
      </c>
      <c r="B111" s="126"/>
      <c r="C111" s="21">
        <v>4010</v>
      </c>
      <c r="D111" s="21">
        <v>610</v>
      </c>
      <c r="E111" s="25"/>
      <c r="F111" s="22">
        <f>378548.25+72228.32+21310</f>
        <v>472086.57</v>
      </c>
      <c r="G111" s="22"/>
      <c r="H111" s="22"/>
      <c r="I111" s="22" t="s">
        <v>25</v>
      </c>
    </row>
    <row r="112" spans="1:9" s="4" customFormat="1" ht="9.6" customHeight="1" x14ac:dyDescent="0.2">
      <c r="A112" s="27"/>
      <c r="B112" s="28"/>
      <c r="C112" s="29"/>
      <c r="D112" s="29"/>
      <c r="E112" s="30"/>
      <c r="F112" s="31"/>
      <c r="G112" s="31"/>
      <c r="H112" s="31"/>
      <c r="I112" s="31"/>
    </row>
    <row r="113" spans="1:12" x14ac:dyDescent="0.25">
      <c r="A113" s="127" t="s">
        <v>118</v>
      </c>
      <c r="B113" s="127"/>
      <c r="C113" s="127"/>
      <c r="D113" s="127"/>
      <c r="E113" s="127"/>
      <c r="F113" s="127"/>
      <c r="G113" s="127"/>
      <c r="H113" s="127"/>
      <c r="I113" s="32"/>
    </row>
    <row r="114" spans="1:12" ht="7.9" customHeight="1" x14ac:dyDescent="0.25">
      <c r="A114" s="33"/>
      <c r="B114" s="32"/>
      <c r="C114" s="34"/>
      <c r="D114" s="34"/>
      <c r="E114" s="34"/>
      <c r="F114" s="34"/>
      <c r="G114" s="34"/>
      <c r="H114" s="34"/>
      <c r="I114" s="32"/>
    </row>
    <row r="115" spans="1:12" ht="15.6" customHeight="1" x14ac:dyDescent="0.25">
      <c r="A115" s="128" t="s">
        <v>119</v>
      </c>
      <c r="B115" s="128" t="s">
        <v>12</v>
      </c>
      <c r="C115" s="128" t="s">
        <v>120</v>
      </c>
      <c r="D115" s="128" t="s">
        <v>121</v>
      </c>
      <c r="E115" s="131" t="s">
        <v>14</v>
      </c>
      <c r="F115" s="134" t="s">
        <v>16</v>
      </c>
      <c r="G115" s="135"/>
      <c r="H115" s="135"/>
      <c r="I115" s="136"/>
    </row>
    <row r="116" spans="1:12" ht="19.899999999999999" customHeight="1" x14ac:dyDescent="0.25">
      <c r="A116" s="129"/>
      <c r="B116" s="129"/>
      <c r="C116" s="129"/>
      <c r="D116" s="129"/>
      <c r="E116" s="132"/>
      <c r="F116" s="11" t="s">
        <v>17</v>
      </c>
      <c r="G116" s="11" t="s">
        <v>18</v>
      </c>
      <c r="H116" s="11" t="s">
        <v>218</v>
      </c>
      <c r="I116" s="137" t="s">
        <v>19</v>
      </c>
    </row>
    <row r="117" spans="1:12" ht="36.6" customHeight="1" x14ac:dyDescent="0.25">
      <c r="A117" s="130"/>
      <c r="B117" s="130"/>
      <c r="C117" s="130"/>
      <c r="D117" s="130"/>
      <c r="E117" s="133"/>
      <c r="F117" s="11" t="s">
        <v>20</v>
      </c>
      <c r="G117" s="11" t="s">
        <v>21</v>
      </c>
      <c r="H117" s="11" t="s">
        <v>22</v>
      </c>
      <c r="I117" s="138"/>
    </row>
    <row r="118" spans="1:12" ht="14.45" customHeight="1" x14ac:dyDescent="0.25">
      <c r="A118" s="19">
        <v>1</v>
      </c>
      <c r="B118" s="11">
        <v>2</v>
      </c>
      <c r="C118" s="11">
        <v>3</v>
      </c>
      <c r="D118" s="11">
        <v>4</v>
      </c>
      <c r="E118" s="12" t="s">
        <v>122</v>
      </c>
      <c r="F118" s="11">
        <v>5</v>
      </c>
      <c r="G118" s="11">
        <v>6</v>
      </c>
      <c r="H118" s="11">
        <v>7</v>
      </c>
      <c r="I118" s="11">
        <v>8</v>
      </c>
    </row>
    <row r="119" spans="1:12" ht="21" customHeight="1" x14ac:dyDescent="0.25">
      <c r="A119" s="19">
        <v>1</v>
      </c>
      <c r="B119" s="35" t="s">
        <v>123</v>
      </c>
      <c r="C119" s="25">
        <v>26000</v>
      </c>
      <c r="D119" s="25" t="s">
        <v>25</v>
      </c>
      <c r="E119" s="10" t="s">
        <v>25</v>
      </c>
      <c r="F119" s="45">
        <f>F120+F121+F122+F126</f>
        <v>17739452.68</v>
      </c>
      <c r="G119" s="45">
        <f>G120+G121+G122+G126</f>
        <v>19203604.689999998</v>
      </c>
      <c r="H119" s="45">
        <f>H120+H121+H122+H126</f>
        <v>18904984.009999998</v>
      </c>
      <c r="I119" s="26">
        <f>I120+I121+I122+I126</f>
        <v>0</v>
      </c>
      <c r="J119" s="2" t="s">
        <v>190</v>
      </c>
    </row>
    <row r="120" spans="1:12" ht="145.15" customHeight="1" x14ac:dyDescent="0.25">
      <c r="A120" s="36" t="s">
        <v>124</v>
      </c>
      <c r="B120" s="37" t="s">
        <v>125</v>
      </c>
      <c r="C120" s="38">
        <v>26100</v>
      </c>
      <c r="D120" s="21" t="s">
        <v>25</v>
      </c>
      <c r="E120" s="10" t="s">
        <v>25</v>
      </c>
      <c r="F120" s="22"/>
      <c r="G120" s="22"/>
      <c r="H120" s="22"/>
      <c r="I120" s="22"/>
      <c r="J120" s="2" t="s">
        <v>193</v>
      </c>
    </row>
    <row r="121" spans="1:12" ht="40.9" customHeight="1" x14ac:dyDescent="0.25">
      <c r="A121" s="36" t="s">
        <v>126</v>
      </c>
      <c r="B121" s="37" t="s">
        <v>127</v>
      </c>
      <c r="C121" s="38">
        <v>26200</v>
      </c>
      <c r="D121" s="21" t="s">
        <v>25</v>
      </c>
      <c r="E121" s="10" t="s">
        <v>25</v>
      </c>
      <c r="F121" s="22"/>
      <c r="G121" s="22"/>
      <c r="H121" s="22"/>
      <c r="I121" s="22"/>
    </row>
    <row r="122" spans="1:12" ht="39" customHeight="1" x14ac:dyDescent="0.25">
      <c r="A122" s="36" t="s">
        <v>128</v>
      </c>
      <c r="B122" s="37" t="s">
        <v>129</v>
      </c>
      <c r="C122" s="38">
        <v>26300</v>
      </c>
      <c r="D122" s="21" t="s">
        <v>25</v>
      </c>
      <c r="E122" s="10" t="s">
        <v>25</v>
      </c>
      <c r="F122" s="22">
        <v>4552108.6100000003</v>
      </c>
      <c r="G122" s="22">
        <v>0</v>
      </c>
      <c r="H122" s="22">
        <v>0</v>
      </c>
      <c r="I122" s="22"/>
      <c r="J122" s="2" t="s">
        <v>182</v>
      </c>
    </row>
    <row r="123" spans="1:12" ht="14.45" customHeight="1" x14ac:dyDescent="0.25">
      <c r="A123" s="39" t="s">
        <v>130</v>
      </c>
      <c r="B123" s="37" t="s">
        <v>131</v>
      </c>
      <c r="C123" s="38">
        <v>26310</v>
      </c>
      <c r="D123" s="21" t="s">
        <v>25</v>
      </c>
      <c r="E123" s="40" t="s">
        <v>25</v>
      </c>
      <c r="F123" s="44">
        <f>F122</f>
        <v>4552108.6100000003</v>
      </c>
      <c r="G123" s="22"/>
      <c r="H123" s="22"/>
      <c r="I123" s="22"/>
    </row>
    <row r="124" spans="1:12" x14ac:dyDescent="0.25">
      <c r="A124" s="39"/>
      <c r="B124" s="37" t="s">
        <v>191</v>
      </c>
      <c r="C124" s="38" t="s">
        <v>132</v>
      </c>
      <c r="D124" s="21" t="s">
        <v>25</v>
      </c>
      <c r="E124" s="10">
        <v>150</v>
      </c>
      <c r="F124" s="22">
        <v>45350</v>
      </c>
      <c r="G124" s="22"/>
      <c r="H124" s="22"/>
      <c r="I124" s="22"/>
      <c r="J124" s="53">
        <v>6130</v>
      </c>
      <c r="K124" s="53"/>
    </row>
    <row r="125" spans="1:12" ht="15.6" customHeight="1" x14ac:dyDescent="0.25">
      <c r="A125" s="39" t="s">
        <v>133</v>
      </c>
      <c r="B125" s="37" t="s">
        <v>134</v>
      </c>
      <c r="C125" s="38">
        <v>26320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2" ht="39.6" customHeight="1" x14ac:dyDescent="0.25">
      <c r="A126" s="36" t="s">
        <v>135</v>
      </c>
      <c r="B126" s="37" t="s">
        <v>136</v>
      </c>
      <c r="C126" s="38">
        <v>26400</v>
      </c>
      <c r="D126" s="21" t="s">
        <v>25</v>
      </c>
      <c r="E126" s="10" t="s">
        <v>25</v>
      </c>
      <c r="F126" s="44">
        <f>F127+F130+F137+F139+F142</f>
        <v>13187344.07</v>
      </c>
      <c r="G126" s="44">
        <f>G127+G130+G137+G139+G142</f>
        <v>19203604.689999998</v>
      </c>
      <c r="H126" s="44">
        <f>H127+H130+H137+H139+H142</f>
        <v>18904984.009999998</v>
      </c>
      <c r="I126" s="22">
        <f>I127+I130+I137+I139+I142</f>
        <v>0</v>
      </c>
      <c r="J126" s="50" t="s">
        <v>186</v>
      </c>
      <c r="K126" s="6"/>
      <c r="L126" s="6"/>
    </row>
    <row r="127" spans="1:12" ht="38.450000000000003" customHeight="1" x14ac:dyDescent="0.25">
      <c r="A127" s="39" t="s">
        <v>137</v>
      </c>
      <c r="B127" s="37" t="s">
        <v>138</v>
      </c>
      <c r="C127" s="38">
        <v>26410</v>
      </c>
      <c r="D127" s="21" t="s">
        <v>25</v>
      </c>
      <c r="E127" s="10" t="s">
        <v>25</v>
      </c>
      <c r="F127" s="44">
        <f>F128+F129</f>
        <v>2937938.8200000003</v>
      </c>
      <c r="G127" s="44">
        <f>G128+G129</f>
        <v>6583666.3699999973</v>
      </c>
      <c r="H127" s="44">
        <f>H128+H129</f>
        <v>6561152.8499999996</v>
      </c>
      <c r="I127" s="22">
        <f>I128+I129</f>
        <v>0</v>
      </c>
      <c r="J127" s="2" t="s">
        <v>185</v>
      </c>
      <c r="K127" s="2" t="s">
        <v>188</v>
      </c>
    </row>
    <row r="128" spans="1:12" ht="26.25" x14ac:dyDescent="0.25">
      <c r="A128" s="39" t="s">
        <v>139</v>
      </c>
      <c r="B128" s="37" t="s">
        <v>140</v>
      </c>
      <c r="C128" s="38">
        <v>26411</v>
      </c>
      <c r="D128" s="21" t="s">
        <v>25</v>
      </c>
      <c r="E128" s="10" t="s">
        <v>25</v>
      </c>
      <c r="F128" s="44">
        <f>F88-F122-F130-F142-F120</f>
        <v>2937938.8200000003</v>
      </c>
      <c r="G128" s="44">
        <f>G88-G122-G130-G142</f>
        <v>6583666.3699999973</v>
      </c>
      <c r="H128" s="44">
        <f>H88-H122-H130-H142</f>
        <v>6561152.8499999996</v>
      </c>
      <c r="I128" s="22"/>
      <c r="J128" s="2" t="s">
        <v>183</v>
      </c>
    </row>
    <row r="129" spans="1:12" ht="19.899999999999999" customHeight="1" x14ac:dyDescent="0.25">
      <c r="A129" s="39" t="s">
        <v>141</v>
      </c>
      <c r="B129" s="37" t="s">
        <v>142</v>
      </c>
      <c r="C129" s="21">
        <v>26412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28.9" customHeight="1" x14ac:dyDescent="0.25">
      <c r="A130" s="39" t="s">
        <v>143</v>
      </c>
      <c r="B130" s="37" t="s">
        <v>144</v>
      </c>
      <c r="C130" s="38">
        <v>26420</v>
      </c>
      <c r="D130" s="21" t="s">
        <v>25</v>
      </c>
      <c r="E130" s="10" t="s">
        <v>25</v>
      </c>
      <c r="F130" s="44">
        <f>F131+F136</f>
        <v>10057405.25</v>
      </c>
      <c r="G130" s="44">
        <f>G131+G136</f>
        <v>12537272.84</v>
      </c>
      <c r="H130" s="44">
        <f>H131+H136</f>
        <v>12261165.679999998</v>
      </c>
      <c r="I130" s="22">
        <f>I131+I136</f>
        <v>0</v>
      </c>
      <c r="J130" s="2" t="s">
        <v>189</v>
      </c>
    </row>
    <row r="131" spans="1:12" ht="26.45" customHeight="1" x14ac:dyDescent="0.25">
      <c r="A131" s="39" t="s">
        <v>145</v>
      </c>
      <c r="B131" s="37" t="s">
        <v>140</v>
      </c>
      <c r="C131" s="38">
        <v>26421</v>
      </c>
      <c r="D131" s="21" t="s">
        <v>25</v>
      </c>
      <c r="E131" s="10" t="s">
        <v>25</v>
      </c>
      <c r="F131" s="82">
        <f>F35-76804.92-23195.08-F49-F124</f>
        <v>10057405.25</v>
      </c>
      <c r="G131" s="44">
        <f>G35-76804.92-23195.08-G49</f>
        <v>12537272.84</v>
      </c>
      <c r="H131" s="44">
        <f>H35-76804.92-23195.08-H49</f>
        <v>12261165.679999998</v>
      </c>
      <c r="I131" s="22"/>
      <c r="J131" s="2" t="s">
        <v>213</v>
      </c>
    </row>
    <row r="132" spans="1:12" ht="15.6" customHeight="1" x14ac:dyDescent="0.25">
      <c r="A132" s="39"/>
      <c r="B132" s="37" t="s">
        <v>146</v>
      </c>
      <c r="C132" s="38" t="s">
        <v>147</v>
      </c>
      <c r="D132" s="21" t="s">
        <v>25</v>
      </c>
      <c r="E132" s="10">
        <v>150</v>
      </c>
      <c r="F132" s="44">
        <f>F131-F133-F134-F135</f>
        <v>3925335.26</v>
      </c>
      <c r="G132" s="44">
        <f>G131-G133-G134-G135</f>
        <v>3744323.0699999994</v>
      </c>
      <c r="H132" s="44">
        <f>H131-H133-H134-H135</f>
        <v>3719766.319999998</v>
      </c>
      <c r="I132" s="22"/>
    </row>
    <row r="133" spans="1:12" ht="55.15" customHeight="1" x14ac:dyDescent="0.25">
      <c r="A133" s="39"/>
      <c r="B133" s="37" t="s">
        <v>198</v>
      </c>
      <c r="C133" s="38" t="s">
        <v>225</v>
      </c>
      <c r="D133" s="21" t="s">
        <v>25</v>
      </c>
      <c r="E133" s="10" t="s">
        <v>197</v>
      </c>
      <c r="F133" s="44">
        <f>F46</f>
        <v>4520564.6500000004</v>
      </c>
      <c r="G133" s="44">
        <v>6481945.7000000002</v>
      </c>
      <c r="H133" s="44">
        <f>H46</f>
        <v>6482395.7000000002</v>
      </c>
      <c r="I133" s="22"/>
    </row>
    <row r="134" spans="1:12" ht="59.45" customHeight="1" x14ac:dyDescent="0.25">
      <c r="A134" s="39"/>
      <c r="B134" s="37" t="s">
        <v>199</v>
      </c>
      <c r="C134" s="38" t="s">
        <v>226</v>
      </c>
      <c r="D134" s="21" t="s">
        <v>25</v>
      </c>
      <c r="E134" s="10" t="s">
        <v>197</v>
      </c>
      <c r="F134" s="44">
        <f>F47</f>
        <v>1427543.13</v>
      </c>
      <c r="G134" s="44">
        <v>2046995.37</v>
      </c>
      <c r="H134" s="44">
        <f>H47</f>
        <v>1802579.38</v>
      </c>
      <c r="I134" s="22"/>
    </row>
    <row r="135" spans="1:12" ht="53.45" customHeight="1" x14ac:dyDescent="0.25">
      <c r="A135" s="39"/>
      <c r="B135" s="37" t="s">
        <v>200</v>
      </c>
      <c r="C135" s="38" t="s">
        <v>194</v>
      </c>
      <c r="D135" s="21" t="s">
        <v>25</v>
      </c>
      <c r="E135" s="10" t="s">
        <v>197</v>
      </c>
      <c r="F135" s="44">
        <f>F48</f>
        <v>183962.21</v>
      </c>
      <c r="G135" s="44">
        <v>264008.7</v>
      </c>
      <c r="H135" s="44">
        <f>H48</f>
        <v>256424.28</v>
      </c>
      <c r="I135" s="22"/>
    </row>
    <row r="136" spans="1:12" ht="19.899999999999999" customHeight="1" x14ac:dyDescent="0.25">
      <c r="A136" s="39" t="s">
        <v>148</v>
      </c>
      <c r="B136" s="37" t="s">
        <v>142</v>
      </c>
      <c r="C136" s="38">
        <v>26422</v>
      </c>
      <c r="D136" s="21" t="s">
        <v>25</v>
      </c>
      <c r="E136" s="10" t="s">
        <v>25</v>
      </c>
      <c r="F136" s="22"/>
      <c r="G136" s="22"/>
      <c r="H136" s="22"/>
      <c r="I136" s="22"/>
    </row>
    <row r="137" spans="1:12" ht="18.600000000000001" customHeight="1" x14ac:dyDescent="0.25">
      <c r="A137" s="39" t="s">
        <v>149</v>
      </c>
      <c r="B137" s="37" t="s">
        <v>150</v>
      </c>
      <c r="C137" s="38">
        <v>26430</v>
      </c>
      <c r="D137" s="21" t="s">
        <v>25</v>
      </c>
      <c r="E137" s="10" t="s">
        <v>25</v>
      </c>
      <c r="F137" s="22"/>
      <c r="G137" s="22"/>
      <c r="H137" s="22"/>
      <c r="I137" s="22"/>
      <c r="L137" s="51">
        <f>F127+F130+F142</f>
        <v>13187344.07</v>
      </c>
    </row>
    <row r="138" spans="1:12" ht="16.899999999999999" customHeight="1" x14ac:dyDescent="0.25">
      <c r="A138" s="39"/>
      <c r="B138" s="37" t="s">
        <v>146</v>
      </c>
      <c r="C138" s="38" t="s">
        <v>151</v>
      </c>
      <c r="D138" s="21" t="s">
        <v>25</v>
      </c>
      <c r="E138" s="10"/>
      <c r="F138" s="22"/>
      <c r="G138" s="22"/>
      <c r="H138" s="22"/>
      <c r="I138" s="22"/>
    </row>
    <row r="139" spans="1:12" ht="19.149999999999999" customHeight="1" x14ac:dyDescent="0.25">
      <c r="A139" s="39" t="s">
        <v>152</v>
      </c>
      <c r="B139" s="37" t="s">
        <v>153</v>
      </c>
      <c r="C139" s="38">
        <v>26440</v>
      </c>
      <c r="D139" s="21" t="s">
        <v>25</v>
      </c>
      <c r="E139" s="10" t="s">
        <v>25</v>
      </c>
      <c r="F139" s="44">
        <f>F140+F141</f>
        <v>0</v>
      </c>
      <c r="G139" s="44">
        <f>G140+G141</f>
        <v>0</v>
      </c>
      <c r="H139" s="44">
        <f>H140+H141</f>
        <v>0</v>
      </c>
      <c r="I139" s="22">
        <f>I140+I141</f>
        <v>0</v>
      </c>
    </row>
    <row r="140" spans="1:12" ht="27.6" customHeight="1" x14ac:dyDescent="0.25">
      <c r="A140" s="39" t="s">
        <v>154</v>
      </c>
      <c r="B140" s="37" t="s">
        <v>140</v>
      </c>
      <c r="C140" s="38">
        <v>26441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9.149999999999999" customHeight="1" x14ac:dyDescent="0.25">
      <c r="A141" s="41" t="s">
        <v>155</v>
      </c>
      <c r="B141" s="37" t="s">
        <v>142</v>
      </c>
      <c r="C141" s="38">
        <v>26442</v>
      </c>
      <c r="D141" s="21" t="s">
        <v>25</v>
      </c>
      <c r="E141" s="10" t="s">
        <v>25</v>
      </c>
      <c r="F141" s="22"/>
      <c r="G141" s="22"/>
      <c r="H141" s="22"/>
      <c r="I141" s="22"/>
    </row>
    <row r="142" spans="1:12" ht="19.899999999999999" customHeight="1" x14ac:dyDescent="0.25">
      <c r="A142" s="41" t="s">
        <v>156</v>
      </c>
      <c r="B142" s="37" t="s">
        <v>157</v>
      </c>
      <c r="C142" s="38">
        <v>26450</v>
      </c>
      <c r="D142" s="21" t="s">
        <v>25</v>
      </c>
      <c r="E142" s="10" t="s">
        <v>25</v>
      </c>
      <c r="F142" s="44">
        <f>F143+F145</f>
        <v>192000</v>
      </c>
      <c r="G142" s="44">
        <f>G143+G145</f>
        <v>82665.48</v>
      </c>
      <c r="H142" s="44">
        <f>H143+H145</f>
        <v>82665.48</v>
      </c>
      <c r="I142" s="22">
        <f>I143+I145</f>
        <v>0</v>
      </c>
      <c r="J142" s="2" t="s">
        <v>187</v>
      </c>
    </row>
    <row r="143" spans="1:12" ht="26.25" x14ac:dyDescent="0.25">
      <c r="A143" s="41" t="s">
        <v>158</v>
      </c>
      <c r="B143" s="37" t="s">
        <v>140</v>
      </c>
      <c r="C143" s="38">
        <v>26451</v>
      </c>
      <c r="D143" s="21" t="s">
        <v>25</v>
      </c>
      <c r="E143" s="10" t="s">
        <v>25</v>
      </c>
      <c r="F143" s="48">
        <f>10000+10000+50000+60000+62000</f>
        <v>192000</v>
      </c>
      <c r="G143" s="48">
        <f>20665.48+62000</f>
        <v>82665.48</v>
      </c>
      <c r="H143" s="48">
        <f>20665.48+62000</f>
        <v>82665.48</v>
      </c>
      <c r="I143" s="22"/>
      <c r="J143" s="2" t="s">
        <v>184</v>
      </c>
    </row>
    <row r="144" spans="1:12" ht="19.149999999999999" customHeight="1" x14ac:dyDescent="0.25">
      <c r="A144" s="41"/>
      <c r="B144" s="37" t="s">
        <v>146</v>
      </c>
      <c r="C144" s="38" t="s">
        <v>159</v>
      </c>
      <c r="D144" s="21" t="s">
        <v>25</v>
      </c>
      <c r="E144" s="10">
        <v>150</v>
      </c>
      <c r="F144" s="49"/>
      <c r="G144" s="22"/>
      <c r="H144" s="22"/>
      <c r="I144" s="22"/>
      <c r="J144" s="53">
        <v>2130</v>
      </c>
    </row>
    <row r="145" spans="1:9" ht="19.899999999999999" customHeight="1" x14ac:dyDescent="0.25">
      <c r="A145" s="41" t="s">
        <v>160</v>
      </c>
      <c r="B145" s="37" t="s">
        <v>142</v>
      </c>
      <c r="C145" s="38">
        <v>26452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9" ht="42.6" customHeight="1" x14ac:dyDescent="0.25">
      <c r="A146" s="41" t="s">
        <v>161</v>
      </c>
      <c r="B146" s="37" t="s">
        <v>162</v>
      </c>
      <c r="C146" s="38">
        <v>26500</v>
      </c>
      <c r="D146" s="21" t="s">
        <v>25</v>
      </c>
      <c r="E146" s="10" t="s">
        <v>25</v>
      </c>
      <c r="F146" s="44">
        <f>F148+F149+F150</f>
        <v>13187344.07</v>
      </c>
      <c r="G146" s="44">
        <f>G148+G149+G150</f>
        <v>19203604.689999998</v>
      </c>
      <c r="H146" s="44">
        <f>H148+H149+H150</f>
        <v>18904984.009999998</v>
      </c>
      <c r="I146" s="22">
        <f>I147+I151</f>
        <v>0</v>
      </c>
    </row>
    <row r="147" spans="1:9" ht="15.6" customHeight="1" x14ac:dyDescent="0.25">
      <c r="A147" s="41"/>
      <c r="B147" s="37" t="s">
        <v>163</v>
      </c>
      <c r="C147" s="38">
        <v>26510</v>
      </c>
      <c r="D147" s="21"/>
      <c r="E147" s="10" t="s">
        <v>25</v>
      </c>
      <c r="F147" s="44"/>
      <c r="G147" s="44"/>
      <c r="H147" s="44"/>
      <c r="I147" s="22"/>
    </row>
    <row r="148" spans="1:9" ht="18.600000000000001" customHeight="1" x14ac:dyDescent="0.25">
      <c r="A148" s="41" t="s">
        <v>204</v>
      </c>
      <c r="B148" s="37"/>
      <c r="C148" s="38"/>
      <c r="D148" s="21">
        <v>2021</v>
      </c>
      <c r="E148" s="10"/>
      <c r="F148" s="44">
        <f>F126</f>
        <v>13187344.07</v>
      </c>
      <c r="G148" s="44"/>
      <c r="H148" s="44"/>
      <c r="I148" s="22"/>
    </row>
    <row r="149" spans="1:9" ht="19.899999999999999" customHeight="1" x14ac:dyDescent="0.25">
      <c r="A149" s="41" t="s">
        <v>205</v>
      </c>
      <c r="B149" s="37"/>
      <c r="C149" s="38"/>
      <c r="D149" s="21">
        <v>2022</v>
      </c>
      <c r="E149" s="10"/>
      <c r="F149" s="44"/>
      <c r="G149" s="44">
        <f>G126-G148-G150</f>
        <v>19203604.689999998</v>
      </c>
      <c r="H149" s="44"/>
      <c r="I149" s="22"/>
    </row>
    <row r="150" spans="1:9" ht="18" customHeight="1" x14ac:dyDescent="0.25">
      <c r="A150" s="41" t="s">
        <v>206</v>
      </c>
      <c r="B150" s="37"/>
      <c r="C150" s="38"/>
      <c r="D150" s="21">
        <v>2023</v>
      </c>
      <c r="E150" s="10"/>
      <c r="F150" s="44"/>
      <c r="G150" s="44"/>
      <c r="H150" s="44">
        <f>H126-H149-H148</f>
        <v>18904984.009999998</v>
      </c>
      <c r="I150" s="22"/>
    </row>
    <row r="151" spans="1:9" ht="16.899999999999999" customHeight="1" x14ac:dyDescent="0.25">
      <c r="A151" s="41"/>
      <c r="B151" s="37"/>
      <c r="C151" s="38"/>
      <c r="D151" s="21"/>
      <c r="E151" s="10" t="s">
        <v>25</v>
      </c>
      <c r="F151" s="22"/>
      <c r="G151" s="22"/>
      <c r="H151" s="22"/>
      <c r="I151" s="22"/>
    </row>
    <row r="152" spans="1:9" ht="39" x14ac:dyDescent="0.25">
      <c r="A152" s="41" t="s">
        <v>164</v>
      </c>
      <c r="B152" s="37" t="s">
        <v>165</v>
      </c>
      <c r="C152" s="38">
        <v>26600</v>
      </c>
      <c r="D152" s="21" t="s">
        <v>25</v>
      </c>
      <c r="E152" s="10" t="s">
        <v>25</v>
      </c>
      <c r="F152" s="44">
        <f>F153+F154</f>
        <v>0</v>
      </c>
      <c r="G152" s="44">
        <f>G153+G154</f>
        <v>0</v>
      </c>
      <c r="H152" s="44">
        <f>H153+H154</f>
        <v>0</v>
      </c>
      <c r="I152" s="22">
        <f>I153+I154</f>
        <v>0</v>
      </c>
    </row>
    <row r="153" spans="1:9" x14ac:dyDescent="0.25">
      <c r="A153" s="41"/>
      <c r="B153" s="37" t="s">
        <v>163</v>
      </c>
      <c r="C153" s="38">
        <v>26610</v>
      </c>
      <c r="D153" s="21"/>
      <c r="E153" s="10" t="s">
        <v>25</v>
      </c>
      <c r="F153" s="22"/>
      <c r="G153" s="22"/>
      <c r="H153" s="22"/>
      <c r="I153" s="22"/>
    </row>
    <row r="154" spans="1:9" x14ac:dyDescent="0.25">
      <c r="A154" s="41"/>
      <c r="B154" s="37"/>
      <c r="C154" s="21"/>
      <c r="D154" s="21"/>
      <c r="E154" s="10" t="s">
        <v>25</v>
      </c>
      <c r="F154" s="22"/>
      <c r="G154" s="22"/>
      <c r="H154" s="22"/>
      <c r="I154" s="22"/>
    </row>
    <row r="155" spans="1:9" x14ac:dyDescent="0.25">
      <c r="A155" s="33"/>
      <c r="B155" s="32"/>
      <c r="C155" s="34"/>
      <c r="D155" s="34"/>
      <c r="E155" s="34"/>
      <c r="F155" s="34"/>
      <c r="G155" s="34"/>
      <c r="H155" s="34"/>
      <c r="I155" s="32"/>
    </row>
    <row r="156" spans="1:9" x14ac:dyDescent="0.25">
      <c r="A156" s="63"/>
      <c r="B156" s="5"/>
      <c r="C156" s="64"/>
      <c r="D156" s="64"/>
      <c r="E156" s="64"/>
      <c r="F156" s="64"/>
      <c r="G156" s="64"/>
      <c r="H156" s="64"/>
      <c r="I156" s="5"/>
    </row>
    <row r="157" spans="1:9" x14ac:dyDescent="0.25">
      <c r="A157" s="65" t="s">
        <v>210</v>
      </c>
      <c r="D157" s="66"/>
      <c r="E157" s="55"/>
      <c r="F157" s="124" t="s">
        <v>208</v>
      </c>
      <c r="G157" s="124"/>
    </row>
    <row r="158" spans="1:9" x14ac:dyDescent="0.25">
      <c r="B158" s="1"/>
      <c r="C158" s="1"/>
      <c r="D158" s="67" t="s">
        <v>166</v>
      </c>
      <c r="F158" s="125" t="s">
        <v>167</v>
      </c>
      <c r="G158" s="125"/>
    </row>
    <row r="159" spans="1:9" x14ac:dyDescent="0.25">
      <c r="B159" s="1"/>
      <c r="C159" s="1"/>
      <c r="D159" s="1"/>
      <c r="E159" s="1"/>
      <c r="F159" s="1"/>
      <c r="G159" s="68"/>
    </row>
    <row r="160" spans="1:9" x14ac:dyDescent="0.25">
      <c r="A160" s="65"/>
      <c r="D160" s="66"/>
      <c r="E160" s="55"/>
      <c r="F160" s="124" t="s">
        <v>168</v>
      </c>
      <c r="G160" s="124"/>
    </row>
    <row r="161" spans="1:10" x14ac:dyDescent="0.25">
      <c r="A161" s="1" t="s">
        <v>169</v>
      </c>
      <c r="B161" s="1"/>
      <c r="C161" s="1"/>
      <c r="D161" s="67" t="s">
        <v>166</v>
      </c>
      <c r="F161" s="125" t="s">
        <v>167</v>
      </c>
      <c r="G161" s="125"/>
    </row>
    <row r="162" spans="1:10" x14ac:dyDescent="0.25">
      <c r="A162" s="65"/>
    </row>
    <row r="163" spans="1:10" ht="1.5" customHeight="1" x14ac:dyDescent="0.3">
      <c r="A163" s="65"/>
      <c r="H163" s="69"/>
      <c r="I163" s="69"/>
      <c r="J163"/>
    </row>
    <row r="164" spans="1:10" ht="18.75" x14ac:dyDescent="0.3">
      <c r="A164" s="70"/>
      <c r="B164" s="69"/>
      <c r="C164" s="69"/>
      <c r="H164" s="69"/>
      <c r="I164" s="69"/>
      <c r="J164"/>
    </row>
    <row r="165" spans="1:10" ht="18.75" x14ac:dyDescent="0.3">
      <c r="A165" s="70"/>
      <c r="B165" s="69"/>
      <c r="C165" s="69"/>
      <c r="D165" s="69"/>
      <c r="E165" s="69"/>
      <c r="F165" s="71"/>
      <c r="H165" s="69"/>
      <c r="I165" s="69"/>
      <c r="J165"/>
    </row>
    <row r="166" spans="1:10" ht="18.75" x14ac:dyDescent="0.3">
      <c r="A166" s="70"/>
      <c r="B166" s="69"/>
      <c r="C166" s="69"/>
      <c r="D166" s="69"/>
      <c r="E166" s="69"/>
      <c r="H166" s="69"/>
      <c r="I166" s="69"/>
      <c r="J166"/>
    </row>
    <row r="167" spans="1:10" ht="18.75" x14ac:dyDescent="0.25">
      <c r="A167" s="72" t="s">
        <v>209</v>
      </c>
      <c r="B167" s="72"/>
      <c r="C167" s="72"/>
      <c r="D167" s="72"/>
      <c r="E167" s="73"/>
      <c r="H167" s="5"/>
      <c r="I167" s="5"/>
    </row>
    <row r="168" spans="1:10" x14ac:dyDescent="0.25">
      <c r="A168" s="167" t="s">
        <v>170</v>
      </c>
      <c r="B168" s="167"/>
      <c r="C168" s="167"/>
      <c r="D168" s="167"/>
      <c r="E168" s="167"/>
      <c r="H168" s="5"/>
      <c r="I168" s="5"/>
    </row>
    <row r="169" spans="1:10" x14ac:dyDescent="0.25">
      <c r="C169" s="5"/>
      <c r="D169" s="5"/>
      <c r="E169" s="5"/>
      <c r="H169" s="5"/>
      <c r="I169" s="5"/>
    </row>
    <row r="170" spans="1:10" x14ac:dyDescent="0.25">
      <c r="H170" s="5"/>
      <c r="I170" s="5"/>
    </row>
    <row r="171" spans="1:10" x14ac:dyDescent="0.25">
      <c r="C171" s="5"/>
      <c r="D171" s="5"/>
      <c r="E171" s="5"/>
      <c r="F171" s="5"/>
      <c r="G171" s="5"/>
      <c r="H171" s="5"/>
      <c r="I171" s="5"/>
    </row>
    <row r="172" spans="1:10" x14ac:dyDescent="0.25">
      <c r="C172" s="5"/>
      <c r="D172" s="5"/>
      <c r="E172" s="5"/>
      <c r="F172" s="5"/>
      <c r="G172" s="5"/>
      <c r="H172" s="5"/>
      <c r="I172" s="5"/>
    </row>
    <row r="173" spans="1:10" x14ac:dyDescent="0.25">
      <c r="C173" s="5"/>
      <c r="D173" s="5"/>
      <c r="E173" s="5"/>
      <c r="F173" s="5"/>
      <c r="G173" s="5"/>
      <c r="H173" s="5"/>
      <c r="I173" s="5"/>
    </row>
    <row r="174" spans="1:10" x14ac:dyDescent="0.25">
      <c r="C174" s="5"/>
      <c r="D174" s="5"/>
      <c r="E174" s="5"/>
      <c r="F174" s="5"/>
      <c r="G174" s="5"/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E182" s="5"/>
    </row>
  </sheetData>
  <mergeCells count="114">
    <mergeCell ref="A19:B19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55:B55"/>
    <mergeCell ref="A56:B56"/>
    <mergeCell ref="A57:B57"/>
    <mergeCell ref="A58:B58"/>
    <mergeCell ref="A59:B59"/>
    <mergeCell ref="A60:B60"/>
    <mergeCell ref="A48:B48"/>
    <mergeCell ref="A50:B50"/>
    <mergeCell ref="A51:B51"/>
    <mergeCell ref="A52:B52"/>
    <mergeCell ref="A53:B53"/>
    <mergeCell ref="A54:B54"/>
    <mergeCell ref="A49:B49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I116:I117"/>
    <mergeCell ref="F157:G157"/>
    <mergeCell ref="F158:G158"/>
    <mergeCell ref="F160:G160"/>
    <mergeCell ref="F161:G161"/>
    <mergeCell ref="A168:E168"/>
    <mergeCell ref="A109:B109"/>
    <mergeCell ref="A110:B110"/>
    <mergeCell ref="A111:B111"/>
    <mergeCell ref="A113:H113"/>
    <mergeCell ref="A115:A117"/>
    <mergeCell ref="B115:B117"/>
    <mergeCell ref="C115:C117"/>
    <mergeCell ref="D115:D117"/>
    <mergeCell ref="E115:E117"/>
    <mergeCell ref="F115:I115"/>
  </mergeCells>
  <pageMargins left="0.31496062992125984" right="0.11811023622047245" top="0.74803149606299213" bottom="0.74803149606299213" header="0" footer="0"/>
  <pageSetup paperSize="9" scale="89" fitToHeight="0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zoomScale="85" zoomScaleNormal="85" zoomScaleSheetLayoutView="70" workbookViewId="0">
      <selection activeCell="I149" sqref="A1:I149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3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8"/>
      <c r="I1" s="3" t="s">
        <v>0</v>
      </c>
    </row>
    <row r="2" spans="1:9" ht="15" customHeight="1" x14ac:dyDescent="0.25">
      <c r="A2" s="7"/>
      <c r="B2" s="8"/>
      <c r="C2" s="8"/>
      <c r="D2" s="8"/>
      <c r="E2" s="8"/>
      <c r="F2" s="166" t="s">
        <v>1</v>
      </c>
      <c r="G2" s="166"/>
      <c r="H2" s="166"/>
      <c r="I2" s="166"/>
    </row>
    <row r="3" spans="1:9" ht="17.45" customHeight="1" x14ac:dyDescent="0.25">
      <c r="A3" s="7"/>
      <c r="B3" s="8"/>
      <c r="C3" s="8"/>
      <c r="D3" s="8"/>
      <c r="E3" s="8"/>
      <c r="F3" s="166"/>
      <c r="G3" s="166"/>
      <c r="H3" s="166"/>
      <c r="I3" s="166"/>
    </row>
    <row r="4" spans="1:9" ht="15" customHeight="1" x14ac:dyDescent="0.25">
      <c r="A4" s="7"/>
      <c r="B4" s="8"/>
      <c r="C4" s="8"/>
      <c r="D4" s="8"/>
      <c r="E4" s="8"/>
      <c r="F4" s="8"/>
      <c r="G4" s="8"/>
      <c r="H4" s="8"/>
      <c r="I4" s="3" t="s">
        <v>2</v>
      </c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217</v>
      </c>
    </row>
    <row r="6" spans="1:9" ht="13.9" customHeight="1" x14ac:dyDescent="0.25">
      <c r="A6" s="7"/>
      <c r="B6" s="8"/>
      <c r="C6" s="8"/>
      <c r="D6" s="8"/>
      <c r="E6" s="8"/>
      <c r="F6" s="8"/>
      <c r="G6" s="8"/>
      <c r="H6" s="8"/>
      <c r="I6" s="3"/>
    </row>
    <row r="7" spans="1:9" ht="18" customHeight="1" x14ac:dyDescent="0.25">
      <c r="A7" s="7"/>
      <c r="B7" s="8"/>
      <c r="C7" s="8"/>
      <c r="D7" s="8"/>
      <c r="E7" s="8"/>
      <c r="F7" s="8"/>
      <c r="G7" s="8"/>
      <c r="H7" s="8"/>
      <c r="I7" s="8"/>
    </row>
    <row r="8" spans="1:9" ht="15" customHeight="1" x14ac:dyDescent="0.25">
      <c r="A8" s="127" t="s">
        <v>214</v>
      </c>
      <c r="B8" s="127"/>
      <c r="C8" s="127"/>
      <c r="D8" s="127"/>
      <c r="E8" s="127"/>
      <c r="F8" s="127"/>
      <c r="G8" s="127"/>
      <c r="H8" s="127"/>
      <c r="I8" s="127"/>
    </row>
    <row r="9" spans="1:9" ht="28.9" customHeight="1" x14ac:dyDescent="0.25">
      <c r="A9" s="127" t="s">
        <v>219</v>
      </c>
      <c r="B9" s="127"/>
      <c r="C9" s="127"/>
      <c r="D9" s="127"/>
      <c r="E9" s="127"/>
      <c r="F9" s="127"/>
      <c r="G9" s="127"/>
      <c r="H9" s="127"/>
      <c r="I9" s="127"/>
    </row>
    <row r="10" spans="1:9" ht="15" customHeight="1" x14ac:dyDescent="0.25">
      <c r="A10" s="7"/>
      <c r="B10" s="8"/>
      <c r="C10" s="8"/>
      <c r="D10" s="8"/>
      <c r="E10" s="8"/>
      <c r="F10" s="8"/>
      <c r="G10" s="8"/>
      <c r="H10" s="8"/>
      <c r="I10" s="9"/>
    </row>
    <row r="11" spans="1:9" ht="15" customHeight="1" x14ac:dyDescent="0.25">
      <c r="I11" s="55"/>
    </row>
    <row r="12" spans="1:9" ht="15" customHeight="1" x14ac:dyDescent="0.25">
      <c r="B12" s="165" t="s">
        <v>215</v>
      </c>
      <c r="C12" s="165"/>
      <c r="D12" s="165"/>
      <c r="E12" s="165"/>
      <c r="F12" s="165"/>
      <c r="G12" s="165"/>
      <c r="H12" s="165"/>
      <c r="I12" s="56" t="s">
        <v>3</v>
      </c>
    </row>
    <row r="13" spans="1:9" ht="15" customHeight="1" x14ac:dyDescent="0.25">
      <c r="H13" s="57" t="s">
        <v>4</v>
      </c>
      <c r="I13" s="56" t="s">
        <v>216</v>
      </c>
    </row>
    <row r="14" spans="1:9" ht="15" customHeight="1" x14ac:dyDescent="0.25">
      <c r="A14" s="159" t="s">
        <v>5</v>
      </c>
      <c r="B14" s="159"/>
      <c r="C14" s="159"/>
      <c r="D14" s="159"/>
      <c r="E14" s="159"/>
      <c r="F14" s="159"/>
      <c r="H14" s="57" t="s">
        <v>6</v>
      </c>
      <c r="I14" s="56"/>
    </row>
    <row r="15" spans="1:9" ht="15" customHeight="1" x14ac:dyDescent="0.25">
      <c r="A15" s="159"/>
      <c r="B15" s="159"/>
      <c r="C15" s="159"/>
      <c r="D15" s="159"/>
      <c r="E15" s="159"/>
      <c r="F15" s="159"/>
      <c r="G15" s="58"/>
      <c r="H15" s="59" t="s">
        <v>7</v>
      </c>
      <c r="I15" s="60">
        <v>925</v>
      </c>
    </row>
    <row r="16" spans="1:9" ht="19.899999999999999" customHeight="1" x14ac:dyDescent="0.25">
      <c r="H16" s="57" t="s">
        <v>6</v>
      </c>
      <c r="I16" s="56"/>
    </row>
    <row r="17" spans="1:11" ht="24.75" customHeight="1" x14ac:dyDescent="0.25">
      <c r="A17" s="159" t="s">
        <v>207</v>
      </c>
      <c r="B17" s="159"/>
      <c r="C17" s="159"/>
      <c r="D17" s="159"/>
      <c r="E17" s="159"/>
      <c r="F17" s="159"/>
      <c r="G17" s="58"/>
      <c r="H17" s="57" t="s">
        <v>8</v>
      </c>
      <c r="I17" s="61">
        <v>2329009762</v>
      </c>
    </row>
    <row r="18" spans="1:11" ht="23.45" customHeight="1" x14ac:dyDescent="0.25">
      <c r="A18" s="159"/>
      <c r="B18" s="159"/>
      <c r="C18" s="159"/>
      <c r="D18" s="159"/>
      <c r="E18" s="159"/>
      <c r="F18" s="159"/>
      <c r="H18" s="57" t="s">
        <v>9</v>
      </c>
      <c r="I18" s="61">
        <v>232901001</v>
      </c>
    </row>
    <row r="19" spans="1:11" ht="15" customHeight="1" x14ac:dyDescent="0.25">
      <c r="A19" s="160" t="s">
        <v>10</v>
      </c>
      <c r="B19" s="160"/>
      <c r="H19" s="57" t="s">
        <v>11</v>
      </c>
      <c r="I19" s="61">
        <v>383</v>
      </c>
    </row>
    <row r="20" spans="1:11" ht="15" customHeight="1" x14ac:dyDescent="0.25">
      <c r="H20" s="57"/>
      <c r="I20" s="62"/>
    </row>
    <row r="21" spans="1:11" s="4" customFormat="1" ht="17.45" customHeight="1" x14ac:dyDescent="0.2">
      <c r="A21" s="149" t="s">
        <v>12</v>
      </c>
      <c r="B21" s="149"/>
      <c r="C21" s="137" t="s">
        <v>13</v>
      </c>
      <c r="D21" s="137" t="s">
        <v>14</v>
      </c>
      <c r="E21" s="137" t="s">
        <v>15</v>
      </c>
      <c r="F21" s="134" t="s">
        <v>16</v>
      </c>
      <c r="G21" s="135"/>
      <c r="H21" s="135"/>
      <c r="I21" s="136"/>
    </row>
    <row r="22" spans="1:11" s="4" customFormat="1" ht="15" customHeight="1" x14ac:dyDescent="0.2">
      <c r="A22" s="149"/>
      <c r="B22" s="149"/>
      <c r="C22" s="161"/>
      <c r="D22" s="161"/>
      <c r="E22" s="161"/>
      <c r="F22" s="11" t="s">
        <v>17</v>
      </c>
      <c r="G22" s="11" t="s">
        <v>18</v>
      </c>
      <c r="H22" s="11" t="s">
        <v>218</v>
      </c>
      <c r="I22" s="137" t="s">
        <v>19</v>
      </c>
    </row>
    <row r="23" spans="1:11" s="4" customFormat="1" ht="37.5" customHeight="1" x14ac:dyDescent="0.2">
      <c r="A23" s="149"/>
      <c r="B23" s="149"/>
      <c r="C23" s="138"/>
      <c r="D23" s="138"/>
      <c r="E23" s="138"/>
      <c r="F23" s="11" t="s">
        <v>20</v>
      </c>
      <c r="G23" s="11" t="s">
        <v>21</v>
      </c>
      <c r="H23" s="11" t="s">
        <v>22</v>
      </c>
      <c r="I23" s="138"/>
    </row>
    <row r="24" spans="1:11" s="4" customFormat="1" ht="12.75" customHeight="1" x14ac:dyDescent="0.2">
      <c r="A24" s="149">
        <v>1</v>
      </c>
      <c r="B24" s="149"/>
      <c r="C24" s="54">
        <v>2</v>
      </c>
      <c r="D24" s="54">
        <v>3</v>
      </c>
      <c r="E24" s="54">
        <v>4</v>
      </c>
      <c r="F24" s="11">
        <v>5</v>
      </c>
      <c r="G24" s="11">
        <v>6</v>
      </c>
      <c r="H24" s="11">
        <v>7</v>
      </c>
      <c r="I24" s="54">
        <v>8</v>
      </c>
    </row>
    <row r="25" spans="1:11" s="4" customFormat="1" ht="15" customHeight="1" x14ac:dyDescent="0.2">
      <c r="A25" s="149" t="s">
        <v>23</v>
      </c>
      <c r="B25" s="149"/>
      <c r="C25" s="12" t="s">
        <v>24</v>
      </c>
      <c r="D25" s="12" t="s">
        <v>25</v>
      </c>
      <c r="E25" s="11" t="s">
        <v>25</v>
      </c>
      <c r="F25" s="13">
        <f>378548.25+72228.32+21310+109334.52</f>
        <v>581421.09</v>
      </c>
      <c r="G25" s="13">
        <v>0</v>
      </c>
      <c r="H25" s="13">
        <v>0</v>
      </c>
      <c r="I25" s="13">
        <v>0</v>
      </c>
    </row>
    <row r="26" spans="1:11" s="4" customFormat="1" ht="15" customHeight="1" x14ac:dyDescent="0.2">
      <c r="A26" s="149" t="s">
        <v>26</v>
      </c>
      <c r="B26" s="149"/>
      <c r="C26" s="12" t="s">
        <v>27</v>
      </c>
      <c r="D26" s="12" t="s">
        <v>25</v>
      </c>
      <c r="E26" s="11" t="s">
        <v>25</v>
      </c>
      <c r="F26" s="43">
        <f>F25+F27-F56+F105-F109</f>
        <v>0</v>
      </c>
      <c r="G26" s="43">
        <f>G25+G27-G56-G109</f>
        <v>0</v>
      </c>
      <c r="H26" s="43">
        <f>H25+H27-H56-H109</f>
        <v>-7.4505805969238281E-9</v>
      </c>
      <c r="I26" s="43">
        <v>0</v>
      </c>
    </row>
    <row r="27" spans="1:11" s="4" customFormat="1" ht="15" customHeight="1" x14ac:dyDescent="0.2">
      <c r="A27" s="146" t="s">
        <v>28</v>
      </c>
      <c r="B27" s="146"/>
      <c r="C27" s="14" t="s">
        <v>29</v>
      </c>
      <c r="D27" s="15"/>
      <c r="E27" s="16">
        <v>100</v>
      </c>
      <c r="F27" s="42">
        <f>F28+F29+F33+F34+F51+F53+F54</f>
        <v>53503282.219999999</v>
      </c>
      <c r="G27" s="42">
        <f>G28+G29+G33+G34+G51+G53+G54</f>
        <v>55163311.159999996</v>
      </c>
      <c r="H27" s="42">
        <f>H28+H29+H33+H34+H51+H53+H54</f>
        <v>46364027.709999993</v>
      </c>
      <c r="I27" s="42">
        <f>I28+I29+I33+I34+I51+I53+I54</f>
        <v>0</v>
      </c>
    </row>
    <row r="28" spans="1:11" s="4" customFormat="1" ht="30" customHeight="1" x14ac:dyDescent="0.2">
      <c r="A28" s="149" t="s">
        <v>30</v>
      </c>
      <c r="B28" s="149"/>
      <c r="C28" s="18" t="s">
        <v>31</v>
      </c>
      <c r="D28" s="12" t="s">
        <v>32</v>
      </c>
      <c r="E28" s="11"/>
      <c r="F28" s="13">
        <v>12000</v>
      </c>
      <c r="G28" s="13">
        <f>8333.2+2332.28</f>
        <v>10665.480000000001</v>
      </c>
      <c r="H28" s="13">
        <f>8333.2+2332.28</f>
        <v>10665.480000000001</v>
      </c>
      <c r="I28" s="13"/>
    </row>
    <row r="29" spans="1:11" s="76" customFormat="1" ht="18" customHeight="1" x14ac:dyDescent="0.2">
      <c r="A29" s="146" t="s">
        <v>33</v>
      </c>
      <c r="B29" s="146"/>
      <c r="C29" s="15" t="s">
        <v>34</v>
      </c>
      <c r="D29" s="15" t="s">
        <v>35</v>
      </c>
      <c r="E29" s="16"/>
      <c r="F29" s="42">
        <f>F30+F32+F52</f>
        <v>43288526.969999999</v>
      </c>
      <c r="G29" s="42">
        <f>G30+G32+G52+G53</f>
        <v>42533595.909999996</v>
      </c>
      <c r="H29" s="42">
        <f>H30+H32+H52+H53</f>
        <v>42533595.909999996</v>
      </c>
      <c r="I29" s="42">
        <f>SUM(I30:I32)</f>
        <v>0</v>
      </c>
    </row>
    <row r="30" spans="1:11" s="4" customFormat="1" ht="54" customHeight="1" x14ac:dyDescent="0.2">
      <c r="A30" s="158" t="s">
        <v>36</v>
      </c>
      <c r="B30" s="158"/>
      <c r="C30" s="12" t="s">
        <v>37</v>
      </c>
      <c r="D30" s="12" t="s">
        <v>35</v>
      </c>
      <c r="E30" s="11"/>
      <c r="F30" s="52">
        <f>7057300.92+36051226.05</f>
        <v>43108526.969999999</v>
      </c>
      <c r="G30" s="52">
        <v>42353595.909999996</v>
      </c>
      <c r="H30" s="52">
        <v>42353595.909999996</v>
      </c>
      <c r="I30" s="13"/>
    </row>
    <row r="31" spans="1:11" s="4" customFormat="1" ht="31.15" customHeight="1" x14ac:dyDescent="0.2">
      <c r="A31" s="149" t="s">
        <v>38</v>
      </c>
      <c r="B31" s="149"/>
      <c r="C31" s="12" t="s">
        <v>39</v>
      </c>
      <c r="D31" s="12" t="s">
        <v>35</v>
      </c>
      <c r="E31" s="11"/>
      <c r="F31" s="13"/>
      <c r="G31" s="13"/>
      <c r="H31" s="13"/>
      <c r="I31" s="13"/>
      <c r="K31" s="4">
        <f>19998.97+12252.05</f>
        <v>32251.02</v>
      </c>
    </row>
    <row r="32" spans="1:11" s="4" customFormat="1" ht="40.9" customHeight="1" x14ac:dyDescent="0.2">
      <c r="A32" s="149" t="s">
        <v>40</v>
      </c>
      <c r="B32" s="149"/>
      <c r="C32" s="12" t="s">
        <v>41</v>
      </c>
      <c r="D32" s="12" t="s">
        <v>35</v>
      </c>
      <c r="E32" s="11"/>
      <c r="F32" s="13">
        <v>180000</v>
      </c>
      <c r="G32" s="13">
        <v>180000</v>
      </c>
      <c r="H32" s="13">
        <v>180000</v>
      </c>
      <c r="I32" s="13"/>
    </row>
    <row r="33" spans="1:9" s="4" customFormat="1" ht="15" customHeight="1" x14ac:dyDescent="0.2">
      <c r="A33" s="149" t="s">
        <v>42</v>
      </c>
      <c r="B33" s="149"/>
      <c r="C33" s="12" t="s">
        <v>43</v>
      </c>
      <c r="D33" s="12" t="s">
        <v>44</v>
      </c>
      <c r="E33" s="11"/>
      <c r="F33" s="13"/>
      <c r="G33" s="13"/>
      <c r="H33" s="13"/>
      <c r="I33" s="13"/>
    </row>
    <row r="34" spans="1:9" s="78" customFormat="1" ht="15" customHeight="1" x14ac:dyDescent="0.2">
      <c r="A34" s="146" t="s">
        <v>45</v>
      </c>
      <c r="B34" s="146"/>
      <c r="C34" s="15" t="s">
        <v>46</v>
      </c>
      <c r="D34" s="15" t="s">
        <v>47</v>
      </c>
      <c r="E34" s="16"/>
      <c r="F34" s="42">
        <f>F35+F49+F50</f>
        <v>10202755.25</v>
      </c>
      <c r="G34" s="42">
        <f>G35</f>
        <v>12619049.77</v>
      </c>
      <c r="H34" s="42">
        <f>H35</f>
        <v>3819766.3200000003</v>
      </c>
      <c r="I34" s="17"/>
    </row>
    <row r="35" spans="1:9" s="46" customFormat="1" ht="27.75" customHeight="1" x14ac:dyDescent="0.2">
      <c r="A35" s="149" t="s">
        <v>48</v>
      </c>
      <c r="B35" s="149"/>
      <c r="C35" s="12" t="s">
        <v>49</v>
      </c>
      <c r="D35" s="12" t="s">
        <v>47</v>
      </c>
      <c r="E35" s="11"/>
      <c r="F35" s="43">
        <f>F37+F38+F39+F40+F41+F42+F43+F44+F45+F46+F47+F48</f>
        <v>10202755.25</v>
      </c>
      <c r="G35" s="43">
        <f>G37+G38+G39+G40+G41+G42+G43+G44+G45+G46+G47+G48</f>
        <v>12619049.77</v>
      </c>
      <c r="H35" s="43">
        <f>H37+H38+H39+H40+H41+H42+H43+H44+H45+H46+H47+H48</f>
        <v>3819766.3200000003</v>
      </c>
      <c r="I35" s="13"/>
    </row>
    <row r="36" spans="1:9" s="46" customFormat="1" ht="15" customHeight="1" x14ac:dyDescent="0.2">
      <c r="A36" s="150" t="s">
        <v>50</v>
      </c>
      <c r="B36" s="151"/>
      <c r="C36" s="12"/>
      <c r="D36" s="12"/>
      <c r="E36" s="11"/>
      <c r="F36" s="13"/>
      <c r="G36" s="13"/>
      <c r="H36" s="13"/>
      <c r="I36" s="13"/>
    </row>
    <row r="37" spans="1:9" s="46" customFormat="1" ht="30" customHeight="1" x14ac:dyDescent="0.2">
      <c r="A37" s="149" t="s">
        <v>172</v>
      </c>
      <c r="B37" s="149"/>
      <c r="C37" s="19"/>
      <c r="D37" s="12"/>
      <c r="E37" s="11"/>
      <c r="F37" s="20">
        <v>150000</v>
      </c>
      <c r="G37" s="20"/>
      <c r="H37" s="20"/>
      <c r="I37" s="13"/>
    </row>
    <row r="38" spans="1:9" s="46" customFormat="1" ht="29.45" customHeight="1" x14ac:dyDescent="0.2">
      <c r="A38" s="149" t="s">
        <v>173</v>
      </c>
      <c r="B38" s="149"/>
      <c r="C38" s="19"/>
      <c r="D38" s="12"/>
      <c r="E38" s="11"/>
      <c r="F38" s="20">
        <v>52050</v>
      </c>
      <c r="G38" s="20">
        <v>50000</v>
      </c>
      <c r="H38" s="20">
        <v>50000</v>
      </c>
      <c r="I38" s="13"/>
    </row>
    <row r="39" spans="1:9" s="46" customFormat="1" ht="16.899999999999999" customHeight="1" x14ac:dyDescent="0.2">
      <c r="A39" s="149" t="s">
        <v>171</v>
      </c>
      <c r="B39" s="149"/>
      <c r="C39" s="19"/>
      <c r="D39" s="12"/>
      <c r="E39" s="11"/>
      <c r="F39" s="20">
        <v>1498868.94</v>
      </c>
      <c r="G39" s="20">
        <v>1500000</v>
      </c>
      <c r="H39" s="20">
        <v>1500000</v>
      </c>
      <c r="I39" s="13"/>
    </row>
    <row r="40" spans="1:9" s="46" customFormat="1" ht="54.75" customHeight="1" x14ac:dyDescent="0.2">
      <c r="A40" s="149" t="s">
        <v>174</v>
      </c>
      <c r="B40" s="149"/>
      <c r="C40" s="12"/>
      <c r="D40" s="12"/>
      <c r="E40" s="11"/>
      <c r="F40" s="13">
        <v>100000</v>
      </c>
      <c r="G40" s="13"/>
      <c r="H40" s="13"/>
      <c r="I40" s="13"/>
    </row>
    <row r="41" spans="1:9" s="46" customFormat="1" ht="29.45" customHeight="1" x14ac:dyDescent="0.2">
      <c r="A41" s="149" t="s">
        <v>175</v>
      </c>
      <c r="B41" s="149"/>
      <c r="C41" s="12"/>
      <c r="D41" s="12"/>
      <c r="E41" s="11"/>
      <c r="F41" s="13">
        <v>45350</v>
      </c>
      <c r="G41" s="13">
        <v>45350</v>
      </c>
      <c r="H41" s="13">
        <v>45350</v>
      </c>
      <c r="I41" s="13"/>
    </row>
    <row r="42" spans="1:9" s="46" customFormat="1" ht="43.15" customHeight="1" x14ac:dyDescent="0.2">
      <c r="A42" s="149" t="s">
        <v>176</v>
      </c>
      <c r="B42" s="149"/>
      <c r="C42" s="12"/>
      <c r="D42" s="12"/>
      <c r="E42" s="11"/>
      <c r="F42" s="13">
        <v>22330.32</v>
      </c>
      <c r="G42" s="13">
        <v>25100</v>
      </c>
      <c r="H42" s="13">
        <v>22330.32</v>
      </c>
      <c r="I42" s="13"/>
    </row>
    <row r="43" spans="1:9" s="46" customFormat="1" ht="70.900000000000006" customHeight="1" x14ac:dyDescent="0.2">
      <c r="A43" s="147" t="s">
        <v>177</v>
      </c>
      <c r="B43" s="148"/>
      <c r="C43" s="12"/>
      <c r="D43" s="12"/>
      <c r="E43" s="11"/>
      <c r="F43" s="13">
        <v>8036</v>
      </c>
      <c r="G43" s="13">
        <v>11600</v>
      </c>
      <c r="H43" s="13">
        <v>8036</v>
      </c>
      <c r="I43" s="13"/>
    </row>
    <row r="44" spans="1:9" s="46" customFormat="1" ht="45.6" customHeight="1" x14ac:dyDescent="0.2">
      <c r="A44" s="149" t="s">
        <v>178</v>
      </c>
      <c r="B44" s="149"/>
      <c r="C44" s="12"/>
      <c r="D44" s="12"/>
      <c r="E44" s="11"/>
      <c r="F44" s="13">
        <v>236850</v>
      </c>
      <c r="G44" s="13">
        <v>236850</v>
      </c>
      <c r="H44" s="13">
        <v>236850</v>
      </c>
      <c r="I44" s="13"/>
    </row>
    <row r="45" spans="1:9" s="46" customFormat="1" ht="45" customHeight="1" x14ac:dyDescent="0.2">
      <c r="A45" s="149" t="s">
        <v>192</v>
      </c>
      <c r="B45" s="149"/>
      <c r="C45" s="12"/>
      <c r="D45" s="47"/>
      <c r="E45" s="11"/>
      <c r="F45" s="13">
        <v>1957200</v>
      </c>
      <c r="G45" s="13">
        <v>1957200</v>
      </c>
      <c r="H45" s="13">
        <v>1957200</v>
      </c>
      <c r="I45" s="13"/>
    </row>
    <row r="46" spans="1:9" s="46" customFormat="1" ht="55.9" customHeight="1" x14ac:dyDescent="0.2">
      <c r="A46" s="152" t="s">
        <v>201</v>
      </c>
      <c r="B46" s="153"/>
      <c r="C46" s="79"/>
      <c r="D46" s="80"/>
      <c r="E46" s="81"/>
      <c r="F46" s="52">
        <v>4520564.6500000004</v>
      </c>
      <c r="G46" s="13">
        <v>6481945.7000000002</v>
      </c>
      <c r="H46" s="13"/>
      <c r="I46" s="13"/>
    </row>
    <row r="47" spans="1:9" s="46" customFormat="1" ht="54.6" customHeight="1" x14ac:dyDescent="0.2">
      <c r="A47" s="152" t="s">
        <v>202</v>
      </c>
      <c r="B47" s="153"/>
      <c r="C47" s="79"/>
      <c r="D47" s="80"/>
      <c r="E47" s="81"/>
      <c r="F47" s="52">
        <v>1427543.13</v>
      </c>
      <c r="G47" s="13">
        <v>2046995.37</v>
      </c>
      <c r="H47" s="13"/>
      <c r="I47" s="13"/>
    </row>
    <row r="48" spans="1:9" s="46" customFormat="1" ht="55.9" customHeight="1" x14ac:dyDescent="0.2">
      <c r="A48" s="152" t="s">
        <v>203</v>
      </c>
      <c r="B48" s="153"/>
      <c r="C48" s="79"/>
      <c r="D48" s="80"/>
      <c r="E48" s="81"/>
      <c r="F48" s="52">
        <v>183962.21</v>
      </c>
      <c r="G48" s="13">
        <v>264008.7</v>
      </c>
      <c r="H48" s="13"/>
      <c r="I48" s="13"/>
    </row>
    <row r="49" spans="1:9" s="46" customFormat="1" ht="15" customHeight="1" x14ac:dyDescent="0.2">
      <c r="A49" s="149" t="s">
        <v>180</v>
      </c>
      <c r="B49" s="149"/>
      <c r="C49" s="12" t="s">
        <v>51</v>
      </c>
      <c r="D49" s="12" t="s">
        <v>47</v>
      </c>
      <c r="E49" s="11"/>
      <c r="F49" s="13"/>
      <c r="G49" s="13"/>
      <c r="H49" s="13"/>
      <c r="I49" s="13"/>
    </row>
    <row r="50" spans="1:9" s="46" customFormat="1" ht="26.25" customHeight="1" x14ac:dyDescent="0.2">
      <c r="A50" s="147" t="s">
        <v>179</v>
      </c>
      <c r="B50" s="148"/>
      <c r="C50" s="12" t="s">
        <v>52</v>
      </c>
      <c r="D50" s="12" t="s">
        <v>47</v>
      </c>
      <c r="E50" s="11"/>
      <c r="F50" s="13"/>
      <c r="G50" s="13"/>
      <c r="H50" s="13"/>
      <c r="I50" s="13"/>
    </row>
    <row r="51" spans="1:9" s="46" customFormat="1" ht="15" customHeight="1" x14ac:dyDescent="0.2">
      <c r="A51" s="149" t="s">
        <v>53</v>
      </c>
      <c r="B51" s="149"/>
      <c r="C51" s="12" t="s">
        <v>54</v>
      </c>
      <c r="D51" s="12" t="s">
        <v>55</v>
      </c>
      <c r="E51" s="11"/>
      <c r="F51" s="13"/>
      <c r="G51" s="13"/>
      <c r="H51" s="13"/>
      <c r="I51" s="13"/>
    </row>
    <row r="52" spans="1:9" s="4" customFormat="1" ht="15" customHeight="1" x14ac:dyDescent="0.2">
      <c r="A52" s="149" t="s">
        <v>56</v>
      </c>
      <c r="B52" s="149"/>
      <c r="C52" s="12" t="s">
        <v>57</v>
      </c>
      <c r="D52" s="12" t="s">
        <v>55</v>
      </c>
      <c r="E52" s="11"/>
      <c r="F52" s="13"/>
      <c r="G52" s="13"/>
      <c r="H52" s="13"/>
      <c r="I52" s="13"/>
    </row>
    <row r="53" spans="1:9" s="4" customFormat="1" ht="15" customHeight="1" x14ac:dyDescent="0.2">
      <c r="A53" s="149" t="s">
        <v>58</v>
      </c>
      <c r="B53" s="149"/>
      <c r="C53" s="12" t="s">
        <v>59</v>
      </c>
      <c r="D53" s="12" t="s">
        <v>60</v>
      </c>
      <c r="E53" s="11"/>
      <c r="F53" s="13"/>
      <c r="G53" s="13"/>
      <c r="H53" s="13"/>
      <c r="I53" s="13"/>
    </row>
    <row r="54" spans="1:9" s="4" customFormat="1" ht="15" customHeight="1" x14ac:dyDescent="0.2">
      <c r="A54" s="149" t="s">
        <v>61</v>
      </c>
      <c r="B54" s="149"/>
      <c r="C54" s="12" t="s">
        <v>62</v>
      </c>
      <c r="D54" s="12" t="s">
        <v>25</v>
      </c>
      <c r="E54" s="11"/>
      <c r="F54" s="13"/>
      <c r="G54" s="13"/>
      <c r="H54" s="13"/>
      <c r="I54" s="13"/>
    </row>
    <row r="55" spans="1:9" s="4" customFormat="1" ht="38.450000000000003" customHeight="1" x14ac:dyDescent="0.2">
      <c r="A55" s="149" t="s">
        <v>63</v>
      </c>
      <c r="B55" s="149"/>
      <c r="C55" s="12" t="s">
        <v>64</v>
      </c>
      <c r="D55" s="12" t="s">
        <v>65</v>
      </c>
      <c r="E55" s="11"/>
      <c r="F55" s="13"/>
      <c r="G55" s="13"/>
      <c r="H55" s="13"/>
      <c r="I55" s="13" t="s">
        <v>25</v>
      </c>
    </row>
    <row r="56" spans="1:9" s="4" customFormat="1" ht="15" customHeight="1" x14ac:dyDescent="0.2">
      <c r="A56" s="146" t="s">
        <v>66</v>
      </c>
      <c r="B56" s="146"/>
      <c r="C56" s="15" t="s">
        <v>67</v>
      </c>
      <c r="D56" s="15" t="s">
        <v>25</v>
      </c>
      <c r="E56" s="16">
        <v>200</v>
      </c>
      <c r="F56" s="42">
        <f>F57+F67+F74+F78+F85+F87</f>
        <v>53612616.740000002</v>
      </c>
      <c r="G56" s="42">
        <f>G57+G67+G74+G78+G85+G87</f>
        <v>55163311.159999996</v>
      </c>
      <c r="H56" s="42">
        <f>H57+H67+H74+H78+H85+H87</f>
        <v>46364027.710000001</v>
      </c>
      <c r="I56" s="17"/>
    </row>
    <row r="57" spans="1:9" s="4" customFormat="1" ht="27" customHeight="1" x14ac:dyDescent="0.2">
      <c r="A57" s="126" t="s">
        <v>68</v>
      </c>
      <c r="B57" s="126"/>
      <c r="C57" s="21">
        <v>2100</v>
      </c>
      <c r="D57" s="15" t="s">
        <v>25</v>
      </c>
      <c r="E57" s="21"/>
      <c r="F57" s="44">
        <f>F58+F59+F60+F61+F62+F63+F65</f>
        <v>35771604.539999999</v>
      </c>
      <c r="G57" s="44">
        <f>G58+G59+G60+G61+G62+G63+G65</f>
        <v>35771604.539999999</v>
      </c>
      <c r="H57" s="44">
        <f>H58+H59+H60+H61+H62+H63+H65</f>
        <v>35771604.539999999</v>
      </c>
      <c r="I57" s="22" t="s">
        <v>25</v>
      </c>
    </row>
    <row r="58" spans="1:9" s="4" customFormat="1" ht="25.5" customHeight="1" x14ac:dyDescent="0.2">
      <c r="A58" s="126" t="s">
        <v>69</v>
      </c>
      <c r="B58" s="126"/>
      <c r="C58" s="21">
        <v>2110</v>
      </c>
      <c r="D58" s="21">
        <v>111</v>
      </c>
      <c r="E58" s="21"/>
      <c r="F58" s="22">
        <f>27221908.24+90000+82949.31+76804.92</f>
        <v>27471662.469999999</v>
      </c>
      <c r="G58" s="22">
        <f>82949.31+27221908.24+90000+76804.92</f>
        <v>27471662.469999999</v>
      </c>
      <c r="H58" s="22">
        <f>82949.31+27221908.24+90000+76804.92</f>
        <v>27471662.469999999</v>
      </c>
      <c r="I58" s="22" t="s">
        <v>25</v>
      </c>
    </row>
    <row r="59" spans="1:9" s="4" customFormat="1" ht="15" customHeight="1" x14ac:dyDescent="0.2">
      <c r="A59" s="126" t="s">
        <v>70</v>
      </c>
      <c r="B59" s="126"/>
      <c r="C59" s="21">
        <v>2120</v>
      </c>
      <c r="D59" s="21">
        <v>112</v>
      </c>
      <c r="E59" s="21"/>
      <c r="F59" s="22">
        <v>3500</v>
      </c>
      <c r="G59" s="22">
        <v>3500</v>
      </c>
      <c r="H59" s="22">
        <v>3500</v>
      </c>
      <c r="I59" s="22" t="s">
        <v>25</v>
      </c>
    </row>
    <row r="60" spans="1:9" s="4" customFormat="1" ht="28.5" customHeight="1" x14ac:dyDescent="0.2">
      <c r="A60" s="126" t="s">
        <v>71</v>
      </c>
      <c r="B60" s="126"/>
      <c r="C60" s="21">
        <v>2130</v>
      </c>
      <c r="D60" s="21">
        <v>113</v>
      </c>
      <c r="E60" s="21"/>
      <c r="F60" s="22"/>
      <c r="G60" s="22"/>
      <c r="H60" s="22"/>
      <c r="I60" s="22" t="s">
        <v>25</v>
      </c>
    </row>
    <row r="61" spans="1:9" s="4" customFormat="1" ht="28.9" customHeight="1" x14ac:dyDescent="0.2">
      <c r="A61" s="126" t="s">
        <v>72</v>
      </c>
      <c r="B61" s="126"/>
      <c r="C61" s="21">
        <v>2140</v>
      </c>
      <c r="D61" s="21">
        <v>119</v>
      </c>
      <c r="E61" s="21"/>
      <c r="F61" s="22">
        <f>8248196.3+25050.69+23195.08</f>
        <v>8296442.0700000003</v>
      </c>
      <c r="G61" s="22">
        <f>25050.69+8248196.3+23195.08</f>
        <v>8296442.0700000003</v>
      </c>
      <c r="H61" s="22">
        <f>25050.69+8248196.3+23195.08</f>
        <v>8296442.0700000003</v>
      </c>
      <c r="I61" s="22" t="s">
        <v>25</v>
      </c>
    </row>
    <row r="62" spans="1:9" s="4" customFormat="1" ht="16.899999999999999" customHeight="1" x14ac:dyDescent="0.2">
      <c r="A62" s="126" t="s">
        <v>73</v>
      </c>
      <c r="B62" s="126"/>
      <c r="C62" s="21">
        <v>2150</v>
      </c>
      <c r="D62" s="21">
        <v>131</v>
      </c>
      <c r="E62" s="21"/>
      <c r="F62" s="22"/>
      <c r="G62" s="22"/>
      <c r="H62" s="22"/>
      <c r="I62" s="22" t="s">
        <v>25</v>
      </c>
    </row>
    <row r="63" spans="1:9" s="4" customFormat="1" ht="27" customHeight="1" x14ac:dyDescent="0.2">
      <c r="A63" s="126" t="s">
        <v>74</v>
      </c>
      <c r="B63" s="126"/>
      <c r="C63" s="21">
        <v>2160</v>
      </c>
      <c r="D63" s="21">
        <v>133</v>
      </c>
      <c r="E63" s="21"/>
      <c r="F63" s="22"/>
      <c r="G63" s="22"/>
      <c r="H63" s="22"/>
      <c r="I63" s="22" t="s">
        <v>25</v>
      </c>
    </row>
    <row r="64" spans="1:9" s="4" customFormat="1" ht="15.75" customHeight="1" x14ac:dyDescent="0.2">
      <c r="A64" s="126" t="s">
        <v>75</v>
      </c>
      <c r="B64" s="126"/>
      <c r="C64" s="21">
        <v>2170</v>
      </c>
      <c r="D64" s="21">
        <v>134</v>
      </c>
      <c r="E64" s="21"/>
      <c r="F64" s="22"/>
      <c r="G64" s="22"/>
      <c r="H64" s="22"/>
      <c r="I64" s="22"/>
    </row>
    <row r="65" spans="1:9" s="4" customFormat="1" ht="30.75" customHeight="1" x14ac:dyDescent="0.2">
      <c r="A65" s="126" t="s">
        <v>76</v>
      </c>
      <c r="B65" s="126"/>
      <c r="C65" s="21">
        <v>2180</v>
      </c>
      <c r="D65" s="21">
        <v>139</v>
      </c>
      <c r="E65" s="21"/>
      <c r="F65" s="44">
        <f>F66</f>
        <v>0</v>
      </c>
      <c r="G65" s="44">
        <f>G66</f>
        <v>0</v>
      </c>
      <c r="H65" s="44">
        <f>H66</f>
        <v>0</v>
      </c>
      <c r="I65" s="22" t="s">
        <v>25</v>
      </c>
    </row>
    <row r="66" spans="1:9" s="4" customFormat="1" ht="25.5" customHeight="1" x14ac:dyDescent="0.2">
      <c r="A66" s="126" t="s">
        <v>77</v>
      </c>
      <c r="B66" s="126"/>
      <c r="C66" s="21">
        <v>2181</v>
      </c>
      <c r="D66" s="21">
        <v>139</v>
      </c>
      <c r="E66" s="21"/>
      <c r="F66" s="22"/>
      <c r="G66" s="22"/>
      <c r="H66" s="22"/>
      <c r="I66" s="22" t="s">
        <v>25</v>
      </c>
    </row>
    <row r="67" spans="1:9" s="76" customFormat="1" ht="15" customHeight="1" x14ac:dyDescent="0.2">
      <c r="A67" s="141" t="s">
        <v>78</v>
      </c>
      <c r="B67" s="141"/>
      <c r="C67" s="25">
        <v>2200</v>
      </c>
      <c r="D67" s="25">
        <v>300</v>
      </c>
      <c r="E67" s="25"/>
      <c r="F67" s="45">
        <f>F68+F71+F72+F73</f>
        <v>0</v>
      </c>
      <c r="G67" s="45">
        <f>G68+G71+G72+G73</f>
        <v>0</v>
      </c>
      <c r="H67" s="45">
        <f>H68+H71+H72+H73</f>
        <v>0</v>
      </c>
      <c r="I67" s="26" t="s">
        <v>25</v>
      </c>
    </row>
    <row r="68" spans="1:9" s="4" customFormat="1" ht="24.6" customHeight="1" x14ac:dyDescent="0.2">
      <c r="A68" s="126" t="s">
        <v>79</v>
      </c>
      <c r="B68" s="126"/>
      <c r="C68" s="21">
        <v>2210</v>
      </c>
      <c r="D68" s="21">
        <v>320</v>
      </c>
      <c r="E68" s="21"/>
      <c r="F68" s="44">
        <f>SUM(F69:F70)</f>
        <v>0</v>
      </c>
      <c r="G68" s="44">
        <f>SUM(G69:G69)</f>
        <v>0</v>
      </c>
      <c r="H68" s="44">
        <f>SUM(H69:H69)</f>
        <v>0</v>
      </c>
      <c r="I68" s="22" t="s">
        <v>25</v>
      </c>
    </row>
    <row r="69" spans="1:9" s="4" customFormat="1" ht="39" customHeight="1" x14ac:dyDescent="0.2">
      <c r="A69" s="126" t="s">
        <v>80</v>
      </c>
      <c r="B69" s="126"/>
      <c r="C69" s="21">
        <v>2211</v>
      </c>
      <c r="D69" s="21">
        <v>321</v>
      </c>
      <c r="E69" s="21"/>
      <c r="F69" s="22"/>
      <c r="G69" s="22"/>
      <c r="H69" s="22"/>
      <c r="I69" s="22" t="s">
        <v>25</v>
      </c>
    </row>
    <row r="70" spans="1:9" s="4" customFormat="1" ht="15.6" customHeight="1" x14ac:dyDescent="0.2">
      <c r="A70" s="139" t="s">
        <v>181</v>
      </c>
      <c r="B70" s="140"/>
      <c r="C70" s="21">
        <v>2212</v>
      </c>
      <c r="D70" s="21">
        <v>321</v>
      </c>
      <c r="E70" s="21"/>
      <c r="F70" s="22"/>
      <c r="G70" s="22"/>
      <c r="H70" s="22"/>
      <c r="I70" s="22" t="s">
        <v>25</v>
      </c>
    </row>
    <row r="71" spans="1:9" s="4" customFormat="1" ht="25.9" customHeight="1" x14ac:dyDescent="0.2">
      <c r="A71" s="126" t="s">
        <v>81</v>
      </c>
      <c r="B71" s="126"/>
      <c r="C71" s="21">
        <v>2220</v>
      </c>
      <c r="D71" s="21">
        <v>340</v>
      </c>
      <c r="E71" s="21"/>
      <c r="F71" s="22"/>
      <c r="G71" s="22"/>
      <c r="H71" s="22"/>
      <c r="I71" s="22" t="s">
        <v>25</v>
      </c>
    </row>
    <row r="72" spans="1:9" s="4" customFormat="1" ht="39" customHeight="1" x14ac:dyDescent="0.2">
      <c r="A72" s="126" t="s">
        <v>82</v>
      </c>
      <c r="B72" s="126"/>
      <c r="C72" s="21">
        <v>2230</v>
      </c>
      <c r="D72" s="21">
        <v>350</v>
      </c>
      <c r="E72" s="21"/>
      <c r="F72" s="22"/>
      <c r="G72" s="22"/>
      <c r="H72" s="22"/>
      <c r="I72" s="22" t="s">
        <v>25</v>
      </c>
    </row>
    <row r="73" spans="1:9" s="4" customFormat="1" ht="16.149999999999999" customHeight="1" x14ac:dyDescent="0.2">
      <c r="A73" s="126" t="s">
        <v>83</v>
      </c>
      <c r="B73" s="126"/>
      <c r="C73" s="21">
        <v>2240</v>
      </c>
      <c r="D73" s="21">
        <v>360</v>
      </c>
      <c r="E73" s="21"/>
      <c r="F73" s="22"/>
      <c r="G73" s="22"/>
      <c r="H73" s="22"/>
      <c r="I73" s="22" t="s">
        <v>25</v>
      </c>
    </row>
    <row r="74" spans="1:9" s="76" customFormat="1" ht="15" customHeight="1" x14ac:dyDescent="0.2">
      <c r="A74" s="141" t="s">
        <v>84</v>
      </c>
      <c r="B74" s="141"/>
      <c r="C74" s="25">
        <v>2300</v>
      </c>
      <c r="D74" s="25">
        <v>850</v>
      </c>
      <c r="E74" s="25"/>
      <c r="F74" s="45">
        <f>SUM(F75:F77)</f>
        <v>101559.52</v>
      </c>
      <c r="G74" s="45">
        <f>SUM(G75:G77)</f>
        <v>100225</v>
      </c>
      <c r="H74" s="45">
        <f>SUM(H75:H77)</f>
        <v>100225</v>
      </c>
      <c r="I74" s="26" t="s">
        <v>25</v>
      </c>
    </row>
    <row r="75" spans="1:9" s="4" customFormat="1" ht="24" customHeight="1" x14ac:dyDescent="0.2">
      <c r="A75" s="126" t="s">
        <v>85</v>
      </c>
      <c r="B75" s="126"/>
      <c r="C75" s="21">
        <v>2310</v>
      </c>
      <c r="D75" s="21">
        <v>851</v>
      </c>
      <c r="E75" s="21"/>
      <c r="F75" s="22">
        <v>87400</v>
      </c>
      <c r="G75" s="22">
        <v>87400</v>
      </c>
      <c r="H75" s="22">
        <v>87400</v>
      </c>
      <c r="I75" s="22" t="s">
        <v>25</v>
      </c>
    </row>
    <row r="76" spans="1:9" s="4" customFormat="1" ht="30" customHeight="1" x14ac:dyDescent="0.2">
      <c r="A76" s="126" t="s">
        <v>86</v>
      </c>
      <c r="B76" s="126"/>
      <c r="C76" s="21">
        <v>2320</v>
      </c>
      <c r="D76" s="21">
        <v>852</v>
      </c>
      <c r="E76" s="21"/>
      <c r="F76" s="22">
        <v>0</v>
      </c>
      <c r="G76" s="22"/>
      <c r="H76" s="22"/>
      <c r="I76" s="22" t="s">
        <v>25</v>
      </c>
    </row>
    <row r="77" spans="1:9" s="4" customFormat="1" ht="13.5" customHeight="1" x14ac:dyDescent="0.2">
      <c r="A77" s="126" t="s">
        <v>87</v>
      </c>
      <c r="B77" s="126"/>
      <c r="C77" s="21">
        <v>2330</v>
      </c>
      <c r="D77" s="21">
        <v>853</v>
      </c>
      <c r="E77" s="21"/>
      <c r="F77" s="22">
        <f>12825+1334.52</f>
        <v>14159.52</v>
      </c>
      <c r="G77" s="22">
        <v>12825</v>
      </c>
      <c r="H77" s="22">
        <v>12825</v>
      </c>
      <c r="I77" s="22" t="s">
        <v>25</v>
      </c>
    </row>
    <row r="78" spans="1:9" s="4" customFormat="1" ht="13.5" customHeight="1" x14ac:dyDescent="0.2">
      <c r="A78" s="126" t="s">
        <v>88</v>
      </c>
      <c r="B78" s="126"/>
      <c r="C78" s="21">
        <v>2400</v>
      </c>
      <c r="D78" s="21" t="s">
        <v>25</v>
      </c>
      <c r="E78" s="21"/>
      <c r="F78" s="44">
        <f>SUM(F79:F81)</f>
        <v>0</v>
      </c>
      <c r="G78" s="44">
        <f>SUM(G79:G81)</f>
        <v>0</v>
      </c>
      <c r="H78" s="44">
        <f>SUM(H79:H81)</f>
        <v>0</v>
      </c>
      <c r="I78" s="22" t="s">
        <v>25</v>
      </c>
    </row>
    <row r="79" spans="1:9" s="4" customFormat="1" ht="25.9" customHeight="1" x14ac:dyDescent="0.2">
      <c r="A79" s="126" t="s">
        <v>89</v>
      </c>
      <c r="B79" s="126"/>
      <c r="C79" s="21">
        <v>2410</v>
      </c>
      <c r="D79" s="21">
        <v>613</v>
      </c>
      <c r="E79" s="21"/>
      <c r="F79" s="22"/>
      <c r="G79" s="22"/>
      <c r="H79" s="22"/>
      <c r="I79" s="22" t="s">
        <v>25</v>
      </c>
    </row>
    <row r="80" spans="1:9" s="4" customFormat="1" ht="15" customHeight="1" x14ac:dyDescent="0.2">
      <c r="A80" s="126" t="s">
        <v>90</v>
      </c>
      <c r="B80" s="126"/>
      <c r="C80" s="21">
        <v>2420</v>
      </c>
      <c r="D80" s="21">
        <v>623</v>
      </c>
      <c r="E80" s="21"/>
      <c r="F80" s="22"/>
      <c r="G80" s="22"/>
      <c r="H80" s="22"/>
      <c r="I80" s="22" t="s">
        <v>25</v>
      </c>
    </row>
    <row r="81" spans="1:10" s="4" customFormat="1" ht="30" customHeight="1" x14ac:dyDescent="0.2">
      <c r="A81" s="126" t="s">
        <v>91</v>
      </c>
      <c r="B81" s="126"/>
      <c r="C81" s="21">
        <v>2430</v>
      </c>
      <c r="D81" s="21">
        <v>634</v>
      </c>
      <c r="E81" s="21"/>
      <c r="F81" s="22"/>
      <c r="G81" s="22"/>
      <c r="H81" s="22"/>
      <c r="I81" s="22" t="s">
        <v>25</v>
      </c>
    </row>
    <row r="82" spans="1:10" s="4" customFormat="1" ht="16.899999999999999" customHeight="1" x14ac:dyDescent="0.2">
      <c r="A82" s="139" t="s">
        <v>92</v>
      </c>
      <c r="B82" s="140"/>
      <c r="C82" s="21">
        <v>2440</v>
      </c>
      <c r="D82" s="21">
        <v>810</v>
      </c>
      <c r="E82" s="21"/>
      <c r="F82" s="22"/>
      <c r="G82" s="22"/>
      <c r="H82" s="22"/>
      <c r="I82" s="22"/>
    </row>
    <row r="83" spans="1:10" s="4" customFormat="1" ht="16.899999999999999" customHeight="1" x14ac:dyDescent="0.2">
      <c r="A83" s="139" t="s">
        <v>93</v>
      </c>
      <c r="B83" s="140"/>
      <c r="C83" s="21">
        <v>2450</v>
      </c>
      <c r="D83" s="21">
        <v>862</v>
      </c>
      <c r="E83" s="21"/>
      <c r="F83" s="22"/>
      <c r="G83" s="22"/>
      <c r="H83" s="22"/>
      <c r="I83" s="22"/>
    </row>
    <row r="84" spans="1:10" s="4" customFormat="1" ht="30.75" customHeight="1" x14ac:dyDescent="0.2">
      <c r="A84" s="139" t="s">
        <v>94</v>
      </c>
      <c r="B84" s="140"/>
      <c r="C84" s="21">
        <v>2460</v>
      </c>
      <c r="D84" s="21">
        <v>863</v>
      </c>
      <c r="E84" s="21"/>
      <c r="F84" s="22"/>
      <c r="G84" s="22"/>
      <c r="H84" s="22"/>
      <c r="I84" s="22"/>
    </row>
    <row r="85" spans="1:10" s="4" customFormat="1" ht="15" customHeight="1" x14ac:dyDescent="0.2">
      <c r="A85" s="126" t="s">
        <v>95</v>
      </c>
      <c r="B85" s="126"/>
      <c r="C85" s="21">
        <v>2500</v>
      </c>
      <c r="D85" s="21" t="s">
        <v>25</v>
      </c>
      <c r="E85" s="21"/>
      <c r="F85" s="44">
        <f>F86</f>
        <v>0</v>
      </c>
      <c r="G85" s="44">
        <f>G86</f>
        <v>0</v>
      </c>
      <c r="H85" s="44">
        <f>H86</f>
        <v>0</v>
      </c>
      <c r="I85" s="22" t="s">
        <v>25</v>
      </c>
    </row>
    <row r="86" spans="1:10" s="4" customFormat="1" ht="31.5" customHeight="1" x14ac:dyDescent="0.2">
      <c r="A86" s="126" t="s">
        <v>96</v>
      </c>
      <c r="B86" s="126"/>
      <c r="C86" s="21">
        <v>2520</v>
      </c>
      <c r="D86" s="21">
        <v>831</v>
      </c>
      <c r="E86" s="21"/>
      <c r="F86" s="22"/>
      <c r="G86" s="22"/>
      <c r="H86" s="22"/>
      <c r="I86" s="22" t="s">
        <v>25</v>
      </c>
    </row>
    <row r="87" spans="1:10" s="76" customFormat="1" ht="15" customHeight="1" x14ac:dyDescent="0.2">
      <c r="A87" s="141" t="s">
        <v>97</v>
      </c>
      <c r="B87" s="141"/>
      <c r="C87" s="25">
        <v>2600</v>
      </c>
      <c r="D87" s="25" t="s">
        <v>25</v>
      </c>
      <c r="E87" s="25"/>
      <c r="F87" s="45">
        <f>F88+F89+F90+F102+F99</f>
        <v>17739452.68</v>
      </c>
      <c r="G87" s="45">
        <f>G88+G89+G90+G102+G99</f>
        <v>19291481.619999997</v>
      </c>
      <c r="H87" s="45">
        <f>H88+H89+H90+H102+H99</f>
        <v>10492198.17</v>
      </c>
      <c r="I87" s="26"/>
    </row>
    <row r="88" spans="1:10" s="4" customFormat="1" ht="30" customHeight="1" x14ac:dyDescent="0.2">
      <c r="A88" s="126" t="s">
        <v>98</v>
      </c>
      <c r="B88" s="126"/>
      <c r="C88" s="21">
        <v>2610</v>
      </c>
      <c r="D88" s="21">
        <v>241</v>
      </c>
      <c r="E88" s="21"/>
      <c r="F88" s="22"/>
      <c r="G88" s="22"/>
      <c r="H88" s="22"/>
      <c r="I88" s="22"/>
    </row>
    <row r="89" spans="1:10" s="4" customFormat="1" ht="27.75" customHeight="1" x14ac:dyDescent="0.2">
      <c r="A89" s="126" t="s">
        <v>99</v>
      </c>
      <c r="B89" s="126"/>
      <c r="C89" s="21">
        <v>2630</v>
      </c>
      <c r="D89" s="21">
        <v>243</v>
      </c>
      <c r="E89" s="21"/>
      <c r="F89" s="22"/>
      <c r="G89" s="22"/>
      <c r="H89" s="22"/>
      <c r="I89" s="22"/>
    </row>
    <row r="90" spans="1:10" s="76" customFormat="1" ht="15" customHeight="1" x14ac:dyDescent="0.2">
      <c r="A90" s="141" t="s">
        <v>100</v>
      </c>
      <c r="B90" s="141"/>
      <c r="C90" s="25">
        <v>2640</v>
      </c>
      <c r="D90" s="25">
        <v>244</v>
      </c>
      <c r="E90" s="25"/>
      <c r="F90" s="45">
        <f>SUM(F91:F98)</f>
        <v>15181730.02</v>
      </c>
      <c r="G90" s="45">
        <f>SUM(G91:G97)</f>
        <v>16940293.619999997</v>
      </c>
      <c r="H90" s="45">
        <f>SUM(H91:H97)</f>
        <v>8141010.1699999999</v>
      </c>
      <c r="I90" s="26"/>
    </row>
    <row r="91" spans="1:10" s="4" customFormat="1" ht="14.45" customHeight="1" x14ac:dyDescent="0.2">
      <c r="A91" s="144" t="s">
        <v>101</v>
      </c>
      <c r="B91" s="145"/>
      <c r="C91" s="21"/>
      <c r="D91" s="23"/>
      <c r="E91" s="21"/>
      <c r="F91" s="22"/>
      <c r="G91" s="22"/>
      <c r="H91" s="22"/>
      <c r="I91" s="22"/>
    </row>
    <row r="92" spans="1:10" s="4" customFormat="1" ht="16.149999999999999" customHeight="1" x14ac:dyDescent="0.2">
      <c r="A92" s="126" t="s">
        <v>102</v>
      </c>
      <c r="B92" s="126"/>
      <c r="C92" s="21">
        <v>2641</v>
      </c>
      <c r="D92" s="23" t="s">
        <v>103</v>
      </c>
      <c r="E92" s="21"/>
      <c r="F92" s="22">
        <v>235839.01</v>
      </c>
      <c r="G92" s="22">
        <v>234490.45</v>
      </c>
      <c r="H92" s="22">
        <v>234490.45</v>
      </c>
      <c r="I92" s="22"/>
    </row>
    <row r="93" spans="1:10" s="4" customFormat="1" ht="13.15" customHeight="1" x14ac:dyDescent="0.2">
      <c r="A93" s="126" t="s">
        <v>104</v>
      </c>
      <c r="B93" s="126"/>
      <c r="C93" s="21">
        <v>2642</v>
      </c>
      <c r="D93" s="23" t="s">
        <v>103</v>
      </c>
      <c r="E93" s="21"/>
      <c r="F93" s="22">
        <f>30000+294220.46</f>
        <v>324220.46000000002</v>
      </c>
      <c r="G93" s="22">
        <v>290000</v>
      </c>
      <c r="H93" s="22">
        <v>290000</v>
      </c>
      <c r="I93" s="22"/>
      <c r="J93" s="4">
        <f>48206.02+36833.16</f>
        <v>85039.18</v>
      </c>
    </row>
    <row r="94" spans="1:10" s="4" customFormat="1" ht="15" customHeight="1" x14ac:dyDescent="0.2">
      <c r="A94" s="144" t="s">
        <v>105</v>
      </c>
      <c r="B94" s="145"/>
      <c r="C94" s="24">
        <v>2643</v>
      </c>
      <c r="D94" s="23" t="s">
        <v>103</v>
      </c>
      <c r="E94" s="21"/>
      <c r="F94" s="22">
        <f>46000+263319.7+52050+140000+10000</f>
        <v>511369.7</v>
      </c>
      <c r="G94" s="22">
        <f>273209.72+50000</f>
        <v>323209.71999999997</v>
      </c>
      <c r="H94" s="22">
        <f>273209.72+50000</f>
        <v>323209.71999999997</v>
      </c>
      <c r="I94" s="22"/>
    </row>
    <row r="95" spans="1:10" s="4" customFormat="1" ht="14.45" customHeight="1" x14ac:dyDescent="0.2">
      <c r="A95" s="126" t="s">
        <v>106</v>
      </c>
      <c r="B95" s="126"/>
      <c r="C95" s="21">
        <v>2644</v>
      </c>
      <c r="D95" s="23" t="s">
        <v>103</v>
      </c>
      <c r="E95" s="21"/>
      <c r="F95" s="22">
        <f>511600+598400+1549183+6132069.99+45350+22330.32+8036+236850+204782.5+10000</f>
        <v>9318601.8100000005</v>
      </c>
      <c r="G95" s="22">
        <f>535232.88+1799245.32+205000+8792949.77+45350+25100+11600+236850</f>
        <v>11651327.969999999</v>
      </c>
      <c r="H95" s="22">
        <f>535232.88+1799245.32+205000+45350+22330.32+8036+236850</f>
        <v>2852044.52</v>
      </c>
      <c r="I95" s="22"/>
    </row>
    <row r="96" spans="1:10" s="4" customFormat="1" ht="16.149999999999999" customHeight="1" x14ac:dyDescent="0.2">
      <c r="A96" s="126" t="s">
        <v>107</v>
      </c>
      <c r="B96" s="126"/>
      <c r="C96" s="24">
        <v>2645</v>
      </c>
      <c r="D96" s="23" t="s">
        <v>103</v>
      </c>
      <c r="E96" s="21"/>
      <c r="F96" s="22">
        <f>1498868.94+1857200+10000+100000+50000</f>
        <v>3516068.94</v>
      </c>
      <c r="G96" s="22">
        <f>1857200+1500000</f>
        <v>3357200</v>
      </c>
      <c r="H96" s="22">
        <f>1857200+1500000</f>
        <v>3357200</v>
      </c>
      <c r="I96" s="22"/>
    </row>
    <row r="97" spans="1:9" s="4" customFormat="1" ht="13.9" customHeight="1" x14ac:dyDescent="0.2">
      <c r="A97" s="126" t="s">
        <v>108</v>
      </c>
      <c r="B97" s="126"/>
      <c r="C97" s="24">
        <v>2646</v>
      </c>
      <c r="D97" s="23" t="s">
        <v>103</v>
      </c>
      <c r="E97" s="21"/>
      <c r="F97" s="22">
        <f>6913.45+489716.65+610000+22000+25000+60000+62000</f>
        <v>1275630.1000000001</v>
      </c>
      <c r="G97" s="22">
        <f>20665.48+62000+654400+300000+22000+25000</f>
        <v>1084065.48</v>
      </c>
      <c r="H97" s="22">
        <f>20665.48+62000+654400+300000+22000+25000</f>
        <v>1084065.48</v>
      </c>
      <c r="I97" s="22"/>
    </row>
    <row r="98" spans="1:9" s="4" customFormat="1" ht="14.45" customHeight="1" x14ac:dyDescent="0.2">
      <c r="A98" s="139"/>
      <c r="B98" s="140"/>
      <c r="C98" s="24"/>
      <c r="D98" s="23"/>
      <c r="E98" s="21"/>
      <c r="F98" s="22"/>
      <c r="G98" s="22"/>
      <c r="H98" s="22"/>
      <c r="I98" s="22"/>
    </row>
    <row r="99" spans="1:9" s="76" customFormat="1" ht="17.45" customHeight="1" x14ac:dyDescent="0.2">
      <c r="A99" s="142" t="s">
        <v>211</v>
      </c>
      <c r="B99" s="143" t="s">
        <v>211</v>
      </c>
      <c r="C99" s="74">
        <v>2650</v>
      </c>
      <c r="D99" s="75" t="s">
        <v>212</v>
      </c>
      <c r="E99" s="25"/>
      <c r="F99" s="77">
        <f>F101</f>
        <v>2557722.66</v>
      </c>
      <c r="G99" s="77">
        <f>G101</f>
        <v>2351188</v>
      </c>
      <c r="H99" s="77">
        <f>H101</f>
        <v>2351188</v>
      </c>
      <c r="I99" s="26"/>
    </row>
    <row r="100" spans="1:9" s="4" customFormat="1" ht="17.45" customHeight="1" x14ac:dyDescent="0.2">
      <c r="A100" s="144" t="s">
        <v>50</v>
      </c>
      <c r="B100" s="145" t="s">
        <v>50</v>
      </c>
      <c r="C100" s="24"/>
      <c r="D100" s="23"/>
      <c r="E100" s="21"/>
      <c r="F100" s="22"/>
      <c r="G100" s="22"/>
      <c r="H100" s="22"/>
      <c r="I100" s="22"/>
    </row>
    <row r="101" spans="1:9" s="4" customFormat="1" ht="17.45" customHeight="1" x14ac:dyDescent="0.2">
      <c r="A101" s="144" t="s">
        <v>104</v>
      </c>
      <c r="B101" s="145" t="s">
        <v>104</v>
      </c>
      <c r="C101" s="24">
        <v>2651</v>
      </c>
      <c r="D101" s="23" t="s">
        <v>212</v>
      </c>
      <c r="E101" s="21"/>
      <c r="F101" s="22">
        <f>400439.67+2157282.99</f>
        <v>2557722.66</v>
      </c>
      <c r="G101" s="22">
        <v>2351188</v>
      </c>
      <c r="H101" s="22">
        <v>2351188</v>
      </c>
      <c r="I101" s="22"/>
    </row>
    <row r="102" spans="1:9" s="4" customFormat="1" ht="21.6" customHeight="1" x14ac:dyDescent="0.2">
      <c r="A102" s="139" t="s">
        <v>109</v>
      </c>
      <c r="B102" s="140"/>
      <c r="C102" s="21">
        <v>2650</v>
      </c>
      <c r="D102" s="21">
        <v>400</v>
      </c>
      <c r="E102" s="21"/>
      <c r="F102" s="22">
        <f>F103+F104</f>
        <v>0</v>
      </c>
      <c r="G102" s="22">
        <f>G103+G104</f>
        <v>0</v>
      </c>
      <c r="H102" s="22">
        <f>H103+H104</f>
        <v>0</v>
      </c>
      <c r="I102" s="22">
        <f>I103+I104</f>
        <v>0</v>
      </c>
    </row>
    <row r="103" spans="1:9" s="4" customFormat="1" ht="37.9" customHeight="1" x14ac:dyDescent="0.2">
      <c r="A103" s="139" t="s">
        <v>110</v>
      </c>
      <c r="B103" s="140"/>
      <c r="C103" s="21">
        <v>2651</v>
      </c>
      <c r="D103" s="21">
        <v>406</v>
      </c>
      <c r="E103" s="21"/>
      <c r="F103" s="22"/>
      <c r="G103" s="22"/>
      <c r="H103" s="22"/>
      <c r="I103" s="22"/>
    </row>
    <row r="104" spans="1:9" s="4" customFormat="1" ht="30" customHeight="1" x14ac:dyDescent="0.2">
      <c r="A104" s="139" t="s">
        <v>111</v>
      </c>
      <c r="B104" s="140"/>
      <c r="C104" s="21">
        <v>2652</v>
      </c>
      <c r="D104" s="21">
        <v>407</v>
      </c>
      <c r="E104" s="21"/>
      <c r="F104" s="22"/>
      <c r="G104" s="22"/>
      <c r="H104" s="22"/>
      <c r="I104" s="22"/>
    </row>
    <row r="105" spans="1:9" s="4" customFormat="1" ht="15" customHeight="1" x14ac:dyDescent="0.2">
      <c r="A105" s="141" t="s">
        <v>112</v>
      </c>
      <c r="B105" s="141"/>
      <c r="C105" s="25">
        <v>3000</v>
      </c>
      <c r="D105" s="25">
        <v>100</v>
      </c>
      <c r="E105" s="21"/>
      <c r="F105" s="45">
        <f>SUM(F106:F108)</f>
        <v>0</v>
      </c>
      <c r="G105" s="45">
        <f>SUM(G106:G108)</f>
        <v>0</v>
      </c>
      <c r="H105" s="45">
        <f>SUM(H106:H108)</f>
        <v>0</v>
      </c>
      <c r="I105" s="26" t="s">
        <v>25</v>
      </c>
    </row>
    <row r="106" spans="1:9" s="4" customFormat="1" ht="26.25" customHeight="1" x14ac:dyDescent="0.2">
      <c r="A106" s="126" t="s">
        <v>113</v>
      </c>
      <c r="B106" s="126"/>
      <c r="C106" s="21">
        <v>3010</v>
      </c>
      <c r="D106" s="21"/>
      <c r="E106" s="25"/>
      <c r="F106" s="22"/>
      <c r="G106" s="22"/>
      <c r="H106" s="22"/>
      <c r="I106" s="22" t="s">
        <v>25</v>
      </c>
    </row>
    <row r="107" spans="1:9" s="4" customFormat="1" ht="15" customHeight="1" x14ac:dyDescent="0.2">
      <c r="A107" s="126" t="s">
        <v>114</v>
      </c>
      <c r="B107" s="126"/>
      <c r="C107" s="21">
        <v>3020</v>
      </c>
      <c r="D107" s="21"/>
      <c r="E107" s="21"/>
      <c r="F107" s="22"/>
      <c r="G107" s="22"/>
      <c r="H107" s="22"/>
      <c r="I107" s="22" t="s">
        <v>25</v>
      </c>
    </row>
    <row r="108" spans="1:9" s="4" customFormat="1" ht="15" customHeight="1" x14ac:dyDescent="0.2">
      <c r="A108" s="126" t="s">
        <v>115</v>
      </c>
      <c r="B108" s="126"/>
      <c r="C108" s="21">
        <v>3030</v>
      </c>
      <c r="D108" s="21"/>
      <c r="E108" s="21"/>
      <c r="F108" s="22"/>
      <c r="G108" s="22"/>
      <c r="H108" s="22"/>
      <c r="I108" s="22" t="s">
        <v>25</v>
      </c>
    </row>
    <row r="109" spans="1:9" s="4" customFormat="1" ht="15" customHeight="1" x14ac:dyDescent="0.2">
      <c r="A109" s="141" t="s">
        <v>116</v>
      </c>
      <c r="B109" s="141"/>
      <c r="C109" s="25">
        <v>4000</v>
      </c>
      <c r="D109" s="25" t="s">
        <v>25</v>
      </c>
      <c r="E109" s="21"/>
      <c r="F109" s="45">
        <f>F110</f>
        <v>472086.57</v>
      </c>
      <c r="G109" s="26">
        <f>G110</f>
        <v>0</v>
      </c>
      <c r="H109" s="26">
        <f>H110</f>
        <v>0</v>
      </c>
      <c r="I109" s="26" t="s">
        <v>25</v>
      </c>
    </row>
    <row r="110" spans="1:9" s="4" customFormat="1" ht="25.5" customHeight="1" x14ac:dyDescent="0.2">
      <c r="A110" s="126" t="s">
        <v>117</v>
      </c>
      <c r="B110" s="126"/>
      <c r="C110" s="21">
        <v>4010</v>
      </c>
      <c r="D110" s="21">
        <v>610</v>
      </c>
      <c r="E110" s="25"/>
      <c r="F110" s="22">
        <f>378548.25+72228.32+21310</f>
        <v>472086.57</v>
      </c>
      <c r="G110" s="22"/>
      <c r="H110" s="22"/>
      <c r="I110" s="22" t="s">
        <v>25</v>
      </c>
    </row>
    <row r="111" spans="1:9" s="4" customFormat="1" ht="10.9" customHeight="1" x14ac:dyDescent="0.2">
      <c r="A111" s="27"/>
      <c r="B111" s="28"/>
      <c r="C111" s="29"/>
      <c r="D111" s="29"/>
      <c r="E111" s="30"/>
      <c r="F111" s="31"/>
      <c r="G111" s="31"/>
      <c r="H111" s="31"/>
      <c r="I111" s="31"/>
    </row>
    <row r="112" spans="1:9" x14ac:dyDescent="0.25">
      <c r="A112" s="127" t="s">
        <v>118</v>
      </c>
      <c r="B112" s="127"/>
      <c r="C112" s="127"/>
      <c r="D112" s="127"/>
      <c r="E112" s="127"/>
      <c r="F112" s="127"/>
      <c r="G112" s="127"/>
      <c r="H112" s="127"/>
      <c r="I112" s="32"/>
    </row>
    <row r="113" spans="1:12" ht="7.9" customHeight="1" x14ac:dyDescent="0.25">
      <c r="A113" s="33"/>
      <c r="B113" s="32"/>
      <c r="C113" s="34"/>
      <c r="D113" s="34"/>
      <c r="E113" s="34"/>
      <c r="F113" s="34"/>
      <c r="G113" s="34"/>
      <c r="H113" s="34"/>
      <c r="I113" s="32"/>
    </row>
    <row r="114" spans="1:12" ht="15.6" customHeight="1" x14ac:dyDescent="0.25">
      <c r="A114" s="128" t="s">
        <v>119</v>
      </c>
      <c r="B114" s="128" t="s">
        <v>12</v>
      </c>
      <c r="C114" s="128" t="s">
        <v>120</v>
      </c>
      <c r="D114" s="128" t="s">
        <v>121</v>
      </c>
      <c r="E114" s="131" t="s">
        <v>14</v>
      </c>
      <c r="F114" s="134" t="s">
        <v>16</v>
      </c>
      <c r="G114" s="135"/>
      <c r="H114" s="135"/>
      <c r="I114" s="136"/>
    </row>
    <row r="115" spans="1:12" ht="19.899999999999999" customHeight="1" x14ac:dyDescent="0.25">
      <c r="A115" s="129"/>
      <c r="B115" s="129"/>
      <c r="C115" s="129"/>
      <c r="D115" s="129"/>
      <c r="E115" s="132"/>
      <c r="F115" s="11" t="s">
        <v>17</v>
      </c>
      <c r="G115" s="11" t="s">
        <v>18</v>
      </c>
      <c r="H115" s="11" t="s">
        <v>218</v>
      </c>
      <c r="I115" s="137" t="s">
        <v>19</v>
      </c>
    </row>
    <row r="116" spans="1:12" ht="36.6" customHeight="1" x14ac:dyDescent="0.25">
      <c r="A116" s="130"/>
      <c r="B116" s="130"/>
      <c r="C116" s="130"/>
      <c r="D116" s="130"/>
      <c r="E116" s="133"/>
      <c r="F116" s="11" t="s">
        <v>20</v>
      </c>
      <c r="G116" s="11" t="s">
        <v>21</v>
      </c>
      <c r="H116" s="11" t="s">
        <v>22</v>
      </c>
      <c r="I116" s="138"/>
    </row>
    <row r="117" spans="1:12" ht="14.45" customHeight="1" x14ac:dyDescent="0.25">
      <c r="A117" s="19">
        <v>1</v>
      </c>
      <c r="B117" s="11">
        <v>2</v>
      </c>
      <c r="C117" s="11">
        <v>3</v>
      </c>
      <c r="D117" s="11">
        <v>4</v>
      </c>
      <c r="E117" s="12" t="s">
        <v>122</v>
      </c>
      <c r="F117" s="11">
        <v>5</v>
      </c>
      <c r="G117" s="11">
        <v>6</v>
      </c>
      <c r="H117" s="11">
        <v>7</v>
      </c>
      <c r="I117" s="11">
        <v>8</v>
      </c>
    </row>
    <row r="118" spans="1:12" ht="21" customHeight="1" x14ac:dyDescent="0.25">
      <c r="A118" s="19">
        <v>1</v>
      </c>
      <c r="B118" s="35" t="s">
        <v>123</v>
      </c>
      <c r="C118" s="25">
        <v>26000</v>
      </c>
      <c r="D118" s="25" t="s">
        <v>25</v>
      </c>
      <c r="E118" s="10" t="s">
        <v>25</v>
      </c>
      <c r="F118" s="45">
        <f>F119+F120+F121+F125</f>
        <v>17739452.68</v>
      </c>
      <c r="G118" s="45">
        <f>G119+G120+G121+G125</f>
        <v>19291481.619999997</v>
      </c>
      <c r="H118" s="45">
        <f>H119+H120+H121+H125</f>
        <v>10492198.17</v>
      </c>
      <c r="I118" s="26">
        <f>I119+I120+I121+I125</f>
        <v>0</v>
      </c>
      <c r="J118" s="2" t="s">
        <v>190</v>
      </c>
    </row>
    <row r="119" spans="1:12" ht="145.15" customHeight="1" x14ac:dyDescent="0.25">
      <c r="A119" s="36" t="s">
        <v>124</v>
      </c>
      <c r="B119" s="37" t="s">
        <v>125</v>
      </c>
      <c r="C119" s="38">
        <v>26100</v>
      </c>
      <c r="D119" s="21" t="s">
        <v>25</v>
      </c>
      <c r="E119" s="10" t="s">
        <v>25</v>
      </c>
      <c r="F119" s="22"/>
      <c r="G119" s="22"/>
      <c r="H119" s="22"/>
      <c r="I119" s="22"/>
      <c r="J119" s="2" t="s">
        <v>193</v>
      </c>
    </row>
    <row r="120" spans="1:12" ht="43.9" customHeight="1" x14ac:dyDescent="0.25">
      <c r="A120" s="36" t="s">
        <v>126</v>
      </c>
      <c r="B120" s="37" t="s">
        <v>127</v>
      </c>
      <c r="C120" s="38">
        <v>26200</v>
      </c>
      <c r="D120" s="21" t="s">
        <v>25</v>
      </c>
      <c r="E120" s="10" t="s">
        <v>25</v>
      </c>
      <c r="F120" s="22"/>
      <c r="G120" s="22"/>
      <c r="H120" s="22"/>
      <c r="I120" s="22"/>
    </row>
    <row r="121" spans="1:12" ht="39" customHeight="1" x14ac:dyDescent="0.25">
      <c r="A121" s="36" t="s">
        <v>128</v>
      </c>
      <c r="B121" s="37" t="s">
        <v>129</v>
      </c>
      <c r="C121" s="38">
        <v>26300</v>
      </c>
      <c r="D121" s="21" t="s">
        <v>25</v>
      </c>
      <c r="E121" s="10" t="s">
        <v>25</v>
      </c>
      <c r="F121" s="22">
        <v>4552108.6100000003</v>
      </c>
      <c r="G121" s="22">
        <v>0</v>
      </c>
      <c r="H121" s="22">
        <v>0</v>
      </c>
      <c r="I121" s="22"/>
      <c r="J121" s="2" t="s">
        <v>182</v>
      </c>
    </row>
    <row r="122" spans="1:12" ht="14.45" customHeight="1" x14ac:dyDescent="0.25">
      <c r="A122" s="39" t="s">
        <v>130</v>
      </c>
      <c r="B122" s="37" t="s">
        <v>131</v>
      </c>
      <c r="C122" s="38">
        <v>26310</v>
      </c>
      <c r="D122" s="21" t="s">
        <v>25</v>
      </c>
      <c r="E122" s="40" t="s">
        <v>25</v>
      </c>
      <c r="F122" s="44">
        <f>F121</f>
        <v>4552108.6100000003</v>
      </c>
      <c r="G122" s="22"/>
      <c r="H122" s="22"/>
      <c r="I122" s="22"/>
    </row>
    <row r="123" spans="1:12" x14ac:dyDescent="0.25">
      <c r="A123" s="39"/>
      <c r="B123" s="37" t="s">
        <v>191</v>
      </c>
      <c r="C123" s="38" t="s">
        <v>132</v>
      </c>
      <c r="D123" s="21" t="s">
        <v>25</v>
      </c>
      <c r="E123" s="10">
        <v>150</v>
      </c>
      <c r="F123" s="22">
        <v>45350</v>
      </c>
      <c r="G123" s="22"/>
      <c r="H123" s="22"/>
      <c r="I123" s="22"/>
      <c r="J123" s="53">
        <v>6130</v>
      </c>
      <c r="K123" s="53">
        <v>6130</v>
      </c>
    </row>
    <row r="124" spans="1:12" ht="15.6" customHeight="1" x14ac:dyDescent="0.25">
      <c r="A124" s="39" t="s">
        <v>133</v>
      </c>
      <c r="B124" s="37" t="s">
        <v>134</v>
      </c>
      <c r="C124" s="38">
        <v>26320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2" ht="39.6" customHeight="1" x14ac:dyDescent="0.25">
      <c r="A125" s="36" t="s">
        <v>135</v>
      </c>
      <c r="B125" s="37" t="s">
        <v>136</v>
      </c>
      <c r="C125" s="38">
        <v>26400</v>
      </c>
      <c r="D125" s="21" t="s">
        <v>25</v>
      </c>
      <c r="E125" s="10" t="s">
        <v>25</v>
      </c>
      <c r="F125" s="44">
        <f>F126+F129+F136+F138+F141</f>
        <v>13187344.07</v>
      </c>
      <c r="G125" s="44">
        <f>G126+G129+G136+G138+G141</f>
        <v>19291481.619999997</v>
      </c>
      <c r="H125" s="44">
        <f>H126+H129+H136+H138+H141</f>
        <v>10492198.17</v>
      </c>
      <c r="I125" s="22">
        <f>I126+I129+I136+I138+I141</f>
        <v>0</v>
      </c>
      <c r="J125" s="50" t="s">
        <v>186</v>
      </c>
      <c r="K125" s="6"/>
      <c r="L125" s="6"/>
    </row>
    <row r="126" spans="1:12" ht="40.9" customHeight="1" x14ac:dyDescent="0.25">
      <c r="A126" s="39" t="s">
        <v>137</v>
      </c>
      <c r="B126" s="37" t="s">
        <v>138</v>
      </c>
      <c r="C126" s="38">
        <v>26410</v>
      </c>
      <c r="D126" s="21" t="s">
        <v>25</v>
      </c>
      <c r="E126" s="10" t="s">
        <v>25</v>
      </c>
      <c r="F126" s="44">
        <f>F127+F128</f>
        <v>2892588.8200000003</v>
      </c>
      <c r="G126" s="44">
        <f>G127+G128</f>
        <v>6689766.3699999973</v>
      </c>
      <c r="H126" s="44">
        <f>H127+H128</f>
        <v>6689766.3699999992</v>
      </c>
      <c r="I126" s="22">
        <f>I127+I128</f>
        <v>0</v>
      </c>
      <c r="J126" s="2" t="s">
        <v>185</v>
      </c>
      <c r="K126" s="2" t="s">
        <v>188</v>
      </c>
    </row>
    <row r="127" spans="1:12" ht="26.25" x14ac:dyDescent="0.25">
      <c r="A127" s="39" t="s">
        <v>139</v>
      </c>
      <c r="B127" s="37" t="s">
        <v>140</v>
      </c>
      <c r="C127" s="38">
        <v>26411</v>
      </c>
      <c r="D127" s="21" t="s">
        <v>25</v>
      </c>
      <c r="E127" s="10" t="s">
        <v>25</v>
      </c>
      <c r="F127" s="44">
        <f>F87-F121-F129-F141-F119</f>
        <v>2892588.8200000003</v>
      </c>
      <c r="G127" s="44">
        <f>G87-G121-G129-G141</f>
        <v>6689766.3699999973</v>
      </c>
      <c r="H127" s="44">
        <f>H87-H121-H129-H141</f>
        <v>6689766.3699999992</v>
      </c>
      <c r="I127" s="22"/>
      <c r="J127" s="2" t="s">
        <v>183</v>
      </c>
    </row>
    <row r="128" spans="1:12" ht="19.899999999999999" customHeight="1" x14ac:dyDescent="0.25">
      <c r="A128" s="39" t="s">
        <v>141</v>
      </c>
      <c r="B128" s="37" t="s">
        <v>142</v>
      </c>
      <c r="C128" s="21">
        <v>26412</v>
      </c>
      <c r="D128" s="21" t="s">
        <v>25</v>
      </c>
      <c r="E128" s="10" t="s">
        <v>25</v>
      </c>
      <c r="F128" s="22"/>
      <c r="G128" s="22"/>
      <c r="H128" s="22"/>
      <c r="I128" s="22"/>
    </row>
    <row r="129" spans="1:12" ht="28.9" customHeight="1" x14ac:dyDescent="0.25">
      <c r="A129" s="39" t="s">
        <v>143</v>
      </c>
      <c r="B129" s="37" t="s">
        <v>144</v>
      </c>
      <c r="C129" s="38">
        <v>26420</v>
      </c>
      <c r="D129" s="21" t="s">
        <v>25</v>
      </c>
      <c r="E129" s="10" t="s">
        <v>25</v>
      </c>
      <c r="F129" s="44">
        <f>F130+F135</f>
        <v>10102755.25</v>
      </c>
      <c r="G129" s="44">
        <f>G130+G135</f>
        <v>12519049.77</v>
      </c>
      <c r="H129" s="44">
        <f>H130+H135</f>
        <v>3719766.3200000003</v>
      </c>
      <c r="I129" s="22">
        <f>I130+I135</f>
        <v>0</v>
      </c>
      <c r="J129" s="2" t="s">
        <v>189</v>
      </c>
    </row>
    <row r="130" spans="1:12" ht="26.45" customHeight="1" x14ac:dyDescent="0.25">
      <c r="A130" s="39" t="s">
        <v>145</v>
      </c>
      <c r="B130" s="37" t="s">
        <v>140</v>
      </c>
      <c r="C130" s="38">
        <v>26421</v>
      </c>
      <c r="D130" s="21" t="s">
        <v>25</v>
      </c>
      <c r="E130" s="10" t="s">
        <v>25</v>
      </c>
      <c r="F130" s="82">
        <f>F35-76804.92-23195.08</f>
        <v>10102755.25</v>
      </c>
      <c r="G130" s="44">
        <f>G35-76804.92-23195.08</f>
        <v>12519049.77</v>
      </c>
      <c r="H130" s="44">
        <f>H35-76804.92-23195.08</f>
        <v>3719766.3200000003</v>
      </c>
      <c r="I130" s="22"/>
      <c r="J130" s="2" t="s">
        <v>213</v>
      </c>
    </row>
    <row r="131" spans="1:12" ht="16.899999999999999" customHeight="1" x14ac:dyDescent="0.25">
      <c r="A131" s="39"/>
      <c r="B131" s="37" t="s">
        <v>146</v>
      </c>
      <c r="C131" s="38" t="s">
        <v>147</v>
      </c>
      <c r="D131" s="21" t="s">
        <v>25</v>
      </c>
      <c r="E131" s="10">
        <v>150</v>
      </c>
      <c r="F131" s="44">
        <f>F130-F132-F133-F134</f>
        <v>3970685.26</v>
      </c>
      <c r="G131" s="44">
        <f>G130-G132-G133-G134</f>
        <v>3726099.9999999991</v>
      </c>
      <c r="H131" s="44">
        <f>H130-H132-H133-H134</f>
        <v>3719766.3200000003</v>
      </c>
      <c r="I131" s="22"/>
    </row>
    <row r="132" spans="1:12" ht="55.15" customHeight="1" x14ac:dyDescent="0.25">
      <c r="A132" s="39"/>
      <c r="B132" s="37" t="s">
        <v>198</v>
      </c>
      <c r="C132" s="38" t="s">
        <v>194</v>
      </c>
      <c r="D132" s="21" t="s">
        <v>25</v>
      </c>
      <c r="E132" s="10" t="s">
        <v>197</v>
      </c>
      <c r="F132" s="44">
        <f>F46</f>
        <v>4520564.6500000004</v>
      </c>
      <c r="G132" s="44">
        <v>6481945.7000000002</v>
      </c>
      <c r="H132" s="44"/>
      <c r="I132" s="22"/>
    </row>
    <row r="133" spans="1:12" ht="59.45" customHeight="1" x14ac:dyDescent="0.25">
      <c r="A133" s="39"/>
      <c r="B133" s="37" t="s">
        <v>199</v>
      </c>
      <c r="C133" s="38" t="s">
        <v>195</v>
      </c>
      <c r="D133" s="21" t="s">
        <v>25</v>
      </c>
      <c r="E133" s="10" t="s">
        <v>197</v>
      </c>
      <c r="F133" s="44">
        <f>F47</f>
        <v>1427543.13</v>
      </c>
      <c r="G133" s="44">
        <v>2046995.37</v>
      </c>
      <c r="H133" s="44"/>
      <c r="I133" s="22"/>
    </row>
    <row r="134" spans="1:12" ht="53.45" customHeight="1" x14ac:dyDescent="0.25">
      <c r="A134" s="39"/>
      <c r="B134" s="37" t="s">
        <v>200</v>
      </c>
      <c r="C134" s="38" t="s">
        <v>196</v>
      </c>
      <c r="D134" s="21" t="s">
        <v>25</v>
      </c>
      <c r="E134" s="10" t="s">
        <v>197</v>
      </c>
      <c r="F134" s="44">
        <f>F48</f>
        <v>183962.21</v>
      </c>
      <c r="G134" s="44">
        <v>264008.7</v>
      </c>
      <c r="H134" s="44"/>
      <c r="I134" s="22"/>
    </row>
    <row r="135" spans="1:12" ht="19.899999999999999" customHeight="1" x14ac:dyDescent="0.25">
      <c r="A135" s="39" t="s">
        <v>148</v>
      </c>
      <c r="B135" s="37" t="s">
        <v>142</v>
      </c>
      <c r="C135" s="38">
        <v>26422</v>
      </c>
      <c r="D135" s="21" t="s">
        <v>25</v>
      </c>
      <c r="E135" s="10" t="s">
        <v>25</v>
      </c>
      <c r="F135" s="22"/>
      <c r="G135" s="22"/>
      <c r="H135" s="22"/>
      <c r="I135" s="22"/>
    </row>
    <row r="136" spans="1:12" ht="18.600000000000001" customHeight="1" x14ac:dyDescent="0.25">
      <c r="A136" s="39" t="s">
        <v>149</v>
      </c>
      <c r="B136" s="37" t="s">
        <v>150</v>
      </c>
      <c r="C136" s="38">
        <v>26430</v>
      </c>
      <c r="D136" s="21" t="s">
        <v>25</v>
      </c>
      <c r="E136" s="10" t="s">
        <v>25</v>
      </c>
      <c r="F136" s="22"/>
      <c r="G136" s="22"/>
      <c r="H136" s="22"/>
      <c r="I136" s="22"/>
      <c r="L136" s="51">
        <f>F126+F129+F141</f>
        <v>13187344.07</v>
      </c>
    </row>
    <row r="137" spans="1:12" ht="19.899999999999999" customHeight="1" x14ac:dyDescent="0.25">
      <c r="A137" s="39"/>
      <c r="B137" s="37" t="s">
        <v>146</v>
      </c>
      <c r="C137" s="38" t="s">
        <v>151</v>
      </c>
      <c r="D137" s="21" t="s">
        <v>25</v>
      </c>
      <c r="E137" s="10"/>
      <c r="F137" s="22"/>
      <c r="G137" s="22"/>
      <c r="H137" s="22"/>
      <c r="I137" s="22"/>
    </row>
    <row r="138" spans="1:12" ht="19.149999999999999" customHeight="1" x14ac:dyDescent="0.25">
      <c r="A138" s="39" t="s">
        <v>152</v>
      </c>
      <c r="B138" s="37" t="s">
        <v>153</v>
      </c>
      <c r="C138" s="38">
        <v>26440</v>
      </c>
      <c r="D138" s="21" t="s">
        <v>25</v>
      </c>
      <c r="E138" s="10" t="s">
        <v>25</v>
      </c>
      <c r="F138" s="44">
        <f>F139+F140</f>
        <v>0</v>
      </c>
      <c r="G138" s="44">
        <f>G139+G140</f>
        <v>0</v>
      </c>
      <c r="H138" s="44">
        <f>H139+H140</f>
        <v>0</v>
      </c>
      <c r="I138" s="22">
        <f>I139+I140</f>
        <v>0</v>
      </c>
    </row>
    <row r="139" spans="1:12" ht="27.6" customHeight="1" x14ac:dyDescent="0.25">
      <c r="A139" s="39" t="s">
        <v>154</v>
      </c>
      <c r="B139" s="37" t="s">
        <v>140</v>
      </c>
      <c r="C139" s="38">
        <v>26441</v>
      </c>
      <c r="D139" s="21" t="s">
        <v>25</v>
      </c>
      <c r="E139" s="10" t="s">
        <v>25</v>
      </c>
      <c r="F139" s="22"/>
      <c r="G139" s="22"/>
      <c r="H139" s="22"/>
      <c r="I139" s="22"/>
    </row>
    <row r="140" spans="1:12" ht="19.149999999999999" customHeight="1" x14ac:dyDescent="0.25">
      <c r="A140" s="41" t="s">
        <v>155</v>
      </c>
      <c r="B140" s="37" t="s">
        <v>142</v>
      </c>
      <c r="C140" s="38">
        <v>26442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9.899999999999999" customHeight="1" x14ac:dyDescent="0.25">
      <c r="A141" s="41" t="s">
        <v>156</v>
      </c>
      <c r="B141" s="37" t="s">
        <v>157</v>
      </c>
      <c r="C141" s="38">
        <v>26450</v>
      </c>
      <c r="D141" s="21" t="s">
        <v>25</v>
      </c>
      <c r="E141" s="10" t="s">
        <v>25</v>
      </c>
      <c r="F141" s="44">
        <f>F142+F144</f>
        <v>192000</v>
      </c>
      <c r="G141" s="44">
        <f>G142+G144</f>
        <v>82665.48</v>
      </c>
      <c r="H141" s="44">
        <f>H142+H144</f>
        <v>82665.48</v>
      </c>
      <c r="I141" s="22">
        <f>I142+I144</f>
        <v>0</v>
      </c>
      <c r="J141" s="2" t="s">
        <v>187</v>
      </c>
    </row>
    <row r="142" spans="1:12" ht="26.25" x14ac:dyDescent="0.25">
      <c r="A142" s="41" t="s">
        <v>158</v>
      </c>
      <c r="B142" s="37" t="s">
        <v>140</v>
      </c>
      <c r="C142" s="38">
        <v>26451</v>
      </c>
      <c r="D142" s="21" t="s">
        <v>25</v>
      </c>
      <c r="E142" s="10" t="s">
        <v>25</v>
      </c>
      <c r="F142" s="48">
        <f>10000+10000+50000+60000+62000</f>
        <v>192000</v>
      </c>
      <c r="G142" s="48">
        <f>20665.48+62000</f>
        <v>82665.48</v>
      </c>
      <c r="H142" s="48">
        <f>20665.48+62000</f>
        <v>82665.48</v>
      </c>
      <c r="I142" s="22"/>
      <c r="J142" s="2" t="s">
        <v>184</v>
      </c>
    </row>
    <row r="143" spans="1:12" ht="19.149999999999999" customHeight="1" x14ac:dyDescent="0.25">
      <c r="A143" s="41"/>
      <c r="B143" s="37" t="s">
        <v>146</v>
      </c>
      <c r="C143" s="38" t="s">
        <v>159</v>
      </c>
      <c r="D143" s="21" t="s">
        <v>25</v>
      </c>
      <c r="E143" s="10">
        <v>150</v>
      </c>
      <c r="F143" s="49"/>
      <c r="G143" s="22"/>
      <c r="H143" s="22"/>
      <c r="I143" s="22"/>
      <c r="J143" s="53">
        <v>2130</v>
      </c>
    </row>
    <row r="144" spans="1:12" ht="19.899999999999999" customHeight="1" x14ac:dyDescent="0.25">
      <c r="A144" s="41" t="s">
        <v>160</v>
      </c>
      <c r="B144" s="37" t="s">
        <v>142</v>
      </c>
      <c r="C144" s="38">
        <v>26452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9" ht="42.6" customHeight="1" x14ac:dyDescent="0.25">
      <c r="A145" s="41" t="s">
        <v>161</v>
      </c>
      <c r="B145" s="37" t="s">
        <v>162</v>
      </c>
      <c r="C145" s="38">
        <v>26500</v>
      </c>
      <c r="D145" s="21" t="s">
        <v>25</v>
      </c>
      <c r="E145" s="10" t="s">
        <v>25</v>
      </c>
      <c r="F145" s="44">
        <f>F147+F148+F149</f>
        <v>13187344.07</v>
      </c>
      <c r="G145" s="44">
        <f>G147+G148+G149</f>
        <v>19291481.619999997</v>
      </c>
      <c r="H145" s="44">
        <f>H147+H148+H149</f>
        <v>10492198.17</v>
      </c>
      <c r="I145" s="22">
        <f>I146+I150</f>
        <v>0</v>
      </c>
    </row>
    <row r="146" spans="1:9" ht="15.6" customHeight="1" x14ac:dyDescent="0.25">
      <c r="A146" s="41"/>
      <c r="B146" s="37" t="s">
        <v>163</v>
      </c>
      <c r="C146" s="38">
        <v>26510</v>
      </c>
      <c r="D146" s="21"/>
      <c r="E146" s="10" t="s">
        <v>25</v>
      </c>
      <c r="F146" s="44"/>
      <c r="G146" s="44"/>
      <c r="H146" s="44"/>
      <c r="I146" s="22"/>
    </row>
    <row r="147" spans="1:9" ht="18.600000000000001" customHeight="1" x14ac:dyDescent="0.25">
      <c r="A147" s="41" t="s">
        <v>204</v>
      </c>
      <c r="B147" s="37"/>
      <c r="C147" s="38"/>
      <c r="D147" s="21">
        <v>2021</v>
      </c>
      <c r="E147" s="10"/>
      <c r="F147" s="44">
        <f>F125</f>
        <v>13187344.07</v>
      </c>
      <c r="G147" s="44"/>
      <c r="H147" s="44"/>
      <c r="I147" s="22"/>
    </row>
    <row r="148" spans="1:9" ht="19.899999999999999" customHeight="1" x14ac:dyDescent="0.25">
      <c r="A148" s="41" t="s">
        <v>205</v>
      </c>
      <c r="B148" s="37"/>
      <c r="C148" s="38"/>
      <c r="D148" s="21">
        <v>2022</v>
      </c>
      <c r="E148" s="10"/>
      <c r="F148" s="44"/>
      <c r="G148" s="44">
        <f>G125-G147-G149</f>
        <v>19291481.619999997</v>
      </c>
      <c r="H148" s="44"/>
      <c r="I148" s="22"/>
    </row>
    <row r="149" spans="1:9" ht="18" customHeight="1" x14ac:dyDescent="0.25">
      <c r="A149" s="41" t="s">
        <v>206</v>
      </c>
      <c r="B149" s="37"/>
      <c r="C149" s="38"/>
      <c r="D149" s="21">
        <v>2023</v>
      </c>
      <c r="E149" s="10"/>
      <c r="F149" s="44"/>
      <c r="G149" s="44"/>
      <c r="H149" s="44">
        <f>H125-H148-H147</f>
        <v>10492198.17</v>
      </c>
      <c r="I149" s="22"/>
    </row>
    <row r="150" spans="1:9" ht="16.899999999999999" customHeight="1" x14ac:dyDescent="0.25">
      <c r="A150" s="41"/>
      <c r="B150" s="37"/>
      <c r="C150" s="38"/>
      <c r="D150" s="21"/>
      <c r="E150" s="10" t="s">
        <v>25</v>
      </c>
      <c r="F150" s="22"/>
      <c r="G150" s="22"/>
      <c r="H150" s="22"/>
      <c r="I150" s="22"/>
    </row>
    <row r="151" spans="1:9" ht="39" x14ac:dyDescent="0.25">
      <c r="A151" s="41" t="s">
        <v>164</v>
      </c>
      <c r="B151" s="37" t="s">
        <v>165</v>
      </c>
      <c r="C151" s="38">
        <v>26600</v>
      </c>
      <c r="D151" s="21" t="s">
        <v>25</v>
      </c>
      <c r="E151" s="10" t="s">
        <v>25</v>
      </c>
      <c r="F151" s="44">
        <f>F152+F153</f>
        <v>0</v>
      </c>
      <c r="G151" s="44">
        <f>G152+G153</f>
        <v>0</v>
      </c>
      <c r="H151" s="44">
        <f>H152+H153</f>
        <v>0</v>
      </c>
      <c r="I151" s="22">
        <f>I152+I153</f>
        <v>0</v>
      </c>
    </row>
    <row r="152" spans="1:9" x14ac:dyDescent="0.25">
      <c r="A152" s="41"/>
      <c r="B152" s="37" t="s">
        <v>163</v>
      </c>
      <c r="C152" s="38">
        <v>26610</v>
      </c>
      <c r="D152" s="21"/>
      <c r="E152" s="10" t="s">
        <v>25</v>
      </c>
      <c r="F152" s="22"/>
      <c r="G152" s="22"/>
      <c r="H152" s="22"/>
      <c r="I152" s="22"/>
    </row>
    <row r="153" spans="1:9" x14ac:dyDescent="0.25">
      <c r="A153" s="41"/>
      <c r="B153" s="37"/>
      <c r="C153" s="21"/>
      <c r="D153" s="21"/>
      <c r="E153" s="10" t="s">
        <v>25</v>
      </c>
      <c r="F153" s="22"/>
      <c r="G153" s="22"/>
      <c r="H153" s="22"/>
      <c r="I153" s="22"/>
    </row>
    <row r="154" spans="1:9" x14ac:dyDescent="0.25">
      <c r="A154" s="33"/>
      <c r="B154" s="32"/>
      <c r="C154" s="34"/>
      <c r="D154" s="34"/>
      <c r="E154" s="34"/>
      <c r="F154" s="34"/>
      <c r="G154" s="34"/>
      <c r="H154" s="34"/>
      <c r="I154" s="32"/>
    </row>
    <row r="155" spans="1:9" x14ac:dyDescent="0.25">
      <c r="A155" s="63"/>
      <c r="B155" s="5"/>
      <c r="C155" s="64"/>
      <c r="D155" s="64"/>
      <c r="E155" s="64"/>
      <c r="F155" s="64"/>
      <c r="G155" s="64"/>
      <c r="H155" s="64"/>
      <c r="I155" s="5"/>
    </row>
    <row r="156" spans="1:9" x14ac:dyDescent="0.25">
      <c r="A156" s="65" t="s">
        <v>210</v>
      </c>
      <c r="D156" s="66"/>
      <c r="E156" s="55"/>
      <c r="F156" s="124" t="s">
        <v>208</v>
      </c>
      <c r="G156" s="124"/>
    </row>
    <row r="157" spans="1:9" x14ac:dyDescent="0.25">
      <c r="B157" s="1"/>
      <c r="C157" s="1"/>
      <c r="D157" s="67" t="s">
        <v>166</v>
      </c>
      <c r="F157" s="125" t="s">
        <v>167</v>
      </c>
      <c r="G157" s="125"/>
    </row>
    <row r="158" spans="1:9" x14ac:dyDescent="0.25">
      <c r="B158" s="1"/>
      <c r="C158" s="1"/>
      <c r="D158" s="1"/>
      <c r="E158" s="1"/>
      <c r="F158" s="1"/>
      <c r="G158" s="68"/>
    </row>
    <row r="159" spans="1:9" x14ac:dyDescent="0.25">
      <c r="A159" s="65"/>
      <c r="D159" s="66"/>
      <c r="E159" s="55"/>
      <c r="F159" s="124" t="s">
        <v>168</v>
      </c>
      <c r="G159" s="124"/>
    </row>
    <row r="160" spans="1:9" x14ac:dyDescent="0.25">
      <c r="A160" s="1" t="s">
        <v>169</v>
      </c>
      <c r="B160" s="1"/>
      <c r="C160" s="1"/>
      <c r="D160" s="67" t="s">
        <v>166</v>
      </c>
      <c r="F160" s="125" t="s">
        <v>167</v>
      </c>
      <c r="G160" s="125"/>
    </row>
    <row r="161" spans="1:10" x14ac:dyDescent="0.25">
      <c r="A161" s="65"/>
    </row>
    <row r="162" spans="1:10" ht="1.5" customHeight="1" x14ac:dyDescent="0.3">
      <c r="A162" s="65"/>
      <c r="H162" s="69"/>
      <c r="I162" s="69"/>
      <c r="J162"/>
    </row>
    <row r="163" spans="1:10" ht="18.75" x14ac:dyDescent="0.3">
      <c r="A163" s="70"/>
      <c r="B163" s="69"/>
      <c r="C163" s="69"/>
      <c r="H163" s="69"/>
      <c r="I163" s="69"/>
      <c r="J163"/>
    </row>
    <row r="164" spans="1:10" ht="18.75" x14ac:dyDescent="0.3">
      <c r="A164" s="70"/>
      <c r="B164" s="69"/>
      <c r="C164" s="69"/>
      <c r="D164" s="69"/>
      <c r="E164" s="69"/>
      <c r="F164" s="71"/>
      <c r="H164" s="69"/>
      <c r="I164" s="69"/>
      <c r="J164"/>
    </row>
    <row r="165" spans="1:10" ht="18.75" x14ac:dyDescent="0.3">
      <c r="A165" s="70"/>
      <c r="B165" s="69"/>
      <c r="C165" s="69"/>
      <c r="D165" s="69"/>
      <c r="E165" s="69"/>
      <c r="H165" s="69"/>
      <c r="I165" s="69"/>
      <c r="J165"/>
    </row>
    <row r="166" spans="1:10" ht="18.75" x14ac:dyDescent="0.25">
      <c r="A166" s="72" t="s">
        <v>209</v>
      </c>
      <c r="B166" s="72"/>
      <c r="C166" s="72"/>
      <c r="D166" s="72"/>
      <c r="E166" s="73"/>
      <c r="H166" s="5"/>
      <c r="I166" s="5"/>
    </row>
    <row r="167" spans="1:10" x14ac:dyDescent="0.25">
      <c r="A167" s="167" t="s">
        <v>170</v>
      </c>
      <c r="B167" s="167"/>
      <c r="C167" s="167"/>
      <c r="D167" s="167"/>
      <c r="E167" s="167"/>
      <c r="H167" s="5"/>
      <c r="I167" s="5"/>
    </row>
    <row r="168" spans="1:10" x14ac:dyDescent="0.25">
      <c r="C168" s="5"/>
      <c r="D168" s="5"/>
      <c r="E168" s="5"/>
      <c r="H168" s="5"/>
      <c r="I168" s="5"/>
    </row>
    <row r="169" spans="1:10" x14ac:dyDescent="0.25">
      <c r="H169" s="5"/>
      <c r="I169" s="5"/>
    </row>
    <row r="170" spans="1:10" x14ac:dyDescent="0.25">
      <c r="C170" s="5"/>
      <c r="D170" s="5"/>
      <c r="E170" s="5"/>
      <c r="F170" s="5"/>
      <c r="G170" s="5"/>
      <c r="H170" s="5"/>
      <c r="I170" s="5"/>
    </row>
    <row r="171" spans="1:10" x14ac:dyDescent="0.25">
      <c r="C171" s="5"/>
      <c r="D171" s="5"/>
      <c r="E171" s="5"/>
      <c r="F171" s="5"/>
      <c r="G171" s="5"/>
      <c r="H171" s="5"/>
      <c r="I171" s="5"/>
    </row>
    <row r="172" spans="1:10" x14ac:dyDescent="0.25">
      <c r="C172" s="5"/>
      <c r="D172" s="5"/>
      <c r="E172" s="5"/>
      <c r="F172" s="5"/>
      <c r="G172" s="5"/>
      <c r="H172" s="5"/>
      <c r="I172" s="5"/>
    </row>
    <row r="173" spans="1:10" x14ac:dyDescent="0.25">
      <c r="C173" s="5"/>
      <c r="D173" s="5"/>
      <c r="E173" s="5"/>
      <c r="F173" s="5"/>
      <c r="G173" s="5"/>
      <c r="H173" s="5"/>
      <c r="I173" s="5"/>
    </row>
    <row r="174" spans="1:10" x14ac:dyDescent="0.25">
      <c r="C174" s="5"/>
      <c r="D174" s="5"/>
      <c r="E174" s="5"/>
      <c r="F174" s="5"/>
      <c r="G174" s="5"/>
      <c r="H174" s="5"/>
      <c r="I174" s="5"/>
    </row>
    <row r="175" spans="1:10" x14ac:dyDescent="0.25">
      <c r="C175" s="5"/>
      <c r="D175" s="5"/>
      <c r="E175" s="5"/>
      <c r="F175" s="5"/>
      <c r="G175" s="5"/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E181" s="5"/>
    </row>
  </sheetData>
  <mergeCells count="113">
    <mergeCell ref="A167:E167"/>
    <mergeCell ref="A21:B23"/>
    <mergeCell ref="C21:C23"/>
    <mergeCell ref="D21:D23"/>
    <mergeCell ref="E21:E23"/>
    <mergeCell ref="F21:I21"/>
    <mergeCell ref="I22:I23"/>
    <mergeCell ref="F2:I3"/>
    <mergeCell ref="A8:I8"/>
    <mergeCell ref="A9:I9"/>
    <mergeCell ref="B12:H12"/>
    <mergeCell ref="A14:F15"/>
    <mergeCell ref="A17:F18"/>
    <mergeCell ref="A19:B1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46:B46"/>
    <mergeCell ref="A47:B47"/>
    <mergeCell ref="A43:B43"/>
    <mergeCell ref="A44:B44"/>
    <mergeCell ref="A45:B45"/>
    <mergeCell ref="A28:B28"/>
    <mergeCell ref="A29:B29"/>
    <mergeCell ref="A41:B41"/>
    <mergeCell ref="A42:B42"/>
    <mergeCell ref="A36:B36"/>
    <mergeCell ref="A37:B37"/>
    <mergeCell ref="A38:B38"/>
    <mergeCell ref="A39:B39"/>
    <mergeCell ref="A40:B40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5:B105"/>
    <mergeCell ref="A106:B106"/>
    <mergeCell ref="A107:B107"/>
    <mergeCell ref="A108:B108"/>
    <mergeCell ref="A109:B109"/>
    <mergeCell ref="A110:B110"/>
    <mergeCell ref="A96:B96"/>
    <mergeCell ref="A97:B97"/>
    <mergeCell ref="A98:B98"/>
    <mergeCell ref="A102:B102"/>
    <mergeCell ref="A103:B103"/>
    <mergeCell ref="A104:B104"/>
    <mergeCell ref="A99:B99"/>
    <mergeCell ref="A100:B100"/>
    <mergeCell ref="A101:B101"/>
    <mergeCell ref="F156:G156"/>
    <mergeCell ref="F157:G157"/>
    <mergeCell ref="F159:G159"/>
    <mergeCell ref="F160:G160"/>
    <mergeCell ref="A112:H112"/>
    <mergeCell ref="A114:A116"/>
    <mergeCell ref="B114:B116"/>
    <mergeCell ref="C114:C116"/>
    <mergeCell ref="D114:D116"/>
    <mergeCell ref="E114:E116"/>
    <mergeCell ref="F114:I114"/>
    <mergeCell ref="I115:I116"/>
  </mergeCells>
  <pageMargins left="0.31496062992125984" right="0.11811023622047245" top="0.74803149606299213" bottom="0.74803149606299213" header="0" footer="0"/>
  <pageSetup paperSize="9" scale="8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opLeftCell="A4" zoomScale="85" zoomScaleNormal="85" zoomScaleSheetLayoutView="70" workbookViewId="0">
      <selection activeCell="F152" sqref="F152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290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291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295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296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297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20">
        <v>2</v>
      </c>
      <c r="D25" s="120">
        <v>3</v>
      </c>
      <c r="E25" s="120">
        <v>4</v>
      </c>
      <c r="F25" s="11">
        <v>5</v>
      </c>
      <c r="G25" s="11">
        <v>6</v>
      </c>
      <c r="H25" s="11">
        <v>7</v>
      </c>
      <c r="I25" s="120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57334724.329999998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43515488.450000003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43251116.450000003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264372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13804228.879999999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13795680.479999999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200000-50000-110000+13197.29</f>
        <v>53197.29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>
        <f>52254+34000-10000</f>
        <v>76254</v>
      </c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318600+709285.48+50000-99520.12</f>
        <v>978365.36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f>21314.34+25000+45513.01</f>
        <v>91827.35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f>124690-94500.4</f>
        <v>30189.600000000006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223850-54600-101050.4</f>
        <v>68199.600000000006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f>1500000-190000</f>
        <v>1310000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43500+1000000+175600</f>
        <v>1219100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5017509.88-454116.56-1005176.49</f>
        <v>3558216.83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1138543.13+148558.28-283509.22</f>
        <v>1003592.19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290062.21-109116.95-39856.72</f>
        <v>141088.54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f>3122100+250550</f>
        <v>3372650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8548.4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57444132.269999996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39728921.950000003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30517408.210000001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7553.6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9203960.1400000006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100654.94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f>84650-50</f>
        <v>84600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16054.94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17614555.379999999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15434627.470000001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423044.35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f>360839.28+7732.37</f>
        <v>368571.65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643261.01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10246909.74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3195399.72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f>358994+198447</f>
        <v>557441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2179927.9099999997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f>2187660.28-7732.37</f>
        <v>2179927.9099999997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17614555.379999999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>
        <v>50</v>
      </c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2766596.3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2766596.3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405257.34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14847909.08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6042936.9699999997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F92-F126-F134-F146-F124-F125</f>
        <v>6042936.9699999997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8363173.1399999987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F36-364516.13-110083.87-F53-F128-F41</f>
        <v>8363173.1399999987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4029424.9299999983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117">
        <f>F50-279298.75</f>
        <v>3278918.08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117">
        <f>F51-78775.99</f>
        <v>924816.2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117">
        <f>F52-11074.61</f>
        <v>130013.93000000001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14847909.08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14847909.08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21" t="s">
        <v>170</v>
      </c>
      <c r="B171" s="121"/>
      <c r="C171" s="121"/>
      <c r="D171" s="121"/>
      <c r="E171" s="73"/>
      <c r="H171" s="69"/>
      <c r="I171" s="69"/>
      <c r="J171"/>
    </row>
    <row r="172" spans="1:10" x14ac:dyDescent="0.25">
      <c r="A172" s="121"/>
      <c r="B172" s="121"/>
      <c r="C172" s="121"/>
      <c r="D172" s="121"/>
      <c r="E172" s="121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H1:I1"/>
    <mergeCell ref="F2:I2"/>
    <mergeCell ref="F3:I4"/>
    <mergeCell ref="A9:I9"/>
    <mergeCell ref="A10:I10"/>
    <mergeCell ref="B13:H13"/>
    <mergeCell ref="A25:B25"/>
    <mergeCell ref="A26:B26"/>
    <mergeCell ref="A27:B2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opLeftCell="A151" zoomScale="85" zoomScaleNormal="85" zoomScaleSheetLayoutView="70" workbookViewId="0">
      <selection activeCell="K17" sqref="K17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290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291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292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293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294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18">
        <v>2</v>
      </c>
      <c r="D25" s="118">
        <v>3</v>
      </c>
      <c r="E25" s="118">
        <v>4</v>
      </c>
      <c r="F25" s="11">
        <v>5</v>
      </c>
      <c r="G25" s="11">
        <v>6</v>
      </c>
      <c r="H25" s="11">
        <v>7</v>
      </c>
      <c r="I25" s="118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-1.548323780298233E-8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58013706.459999993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43165188.449999996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f>42447575.58+200000+23507.72+180000+49733.15</f>
        <v>42900816.449999996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264372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14833511.010000002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14824962.610000001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200000-50000-110000</f>
        <v>40000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>
        <f>52254+34000</f>
        <v>86254</v>
      </c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318600+709285.48+50000-99520.12</f>
        <v>978365.36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f>21314.34+25000</f>
        <v>46314.34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f>124690-94500.4</f>
        <v>30189.600000000006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223850-54600-101050.4</f>
        <v>68199.600000000006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f>1500000-190000</f>
        <v>1310000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43500+1000000+175600</f>
        <v>1219100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</f>
        <v>4563393.32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</f>
        <v>1287101.4099999999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</f>
        <v>180945.26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8548.4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58123114.400000006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39478371.950000003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f>30286775.99+38197.5</f>
        <v>30324973.489999998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7553.6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f>9134309.21+11535.65</f>
        <v>9145844.8600000013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100654.94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f>84650-50</f>
        <v>84600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16054.94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18544087.510000002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16364159.600000001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f>360839.28+7732.37</f>
        <v>368571.65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f>448209.72+52254+175600+30000+34000-110000</f>
        <v>630063.72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f>10834326.91-94500.4-101050.4-30000+23174.13+8548.4+1860+50+180000</f>
        <v>10822408.640000001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3195399.72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f>758967.41+333.59-1860</f>
        <v>757441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2179927.9099999997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f>2187660.28-7732.37</f>
        <v>2179927.9099999997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18544087.510000002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>
        <v>50</v>
      </c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3433060.35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3433060.35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530942.11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15110977.160000002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5151857.6900000004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F92-F126-F134-F146-F124-F125</f>
        <v>5151857.6900000004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9517320.5000000019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F36-364516.13-110083.87-F53-F128-F41</f>
        <v>9517320.5000000019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3980714.6200000015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117">
        <f>F50-374391.97</f>
        <v>4189001.3500000006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117">
        <f>F51-105596.95</f>
        <v>1181504.46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117">
        <f>F52-14845.19</f>
        <v>166100.07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15110977.160000002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15110977.160000002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9" t="s">
        <v>170</v>
      </c>
      <c r="B171" s="119"/>
      <c r="C171" s="119"/>
      <c r="D171" s="119"/>
      <c r="E171" s="73"/>
      <c r="H171" s="69"/>
      <c r="I171" s="69"/>
      <c r="J171"/>
    </row>
    <row r="172" spans="1:10" x14ac:dyDescent="0.25">
      <c r="A172" s="119"/>
      <c r="B172" s="119"/>
      <c r="C172" s="119"/>
      <c r="D172" s="119"/>
      <c r="E172" s="119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H1:I1"/>
    <mergeCell ref="F2:I2"/>
    <mergeCell ref="F3:I4"/>
    <mergeCell ref="A9:I9"/>
    <mergeCell ref="A10:I10"/>
    <mergeCell ref="B13:H13"/>
    <mergeCell ref="A25:B25"/>
    <mergeCell ref="A26:B26"/>
    <mergeCell ref="A27:B2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zoomScale="85" zoomScaleNormal="85" zoomScaleSheetLayoutView="70" workbookViewId="0">
      <selection activeCell="F146" sqref="F146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 t="s">
        <v>285</v>
      </c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286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260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287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288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289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15">
        <v>2</v>
      </c>
      <c r="D25" s="115">
        <v>3</v>
      </c>
      <c r="E25" s="115">
        <v>4</v>
      </c>
      <c r="F25" s="11">
        <v>5</v>
      </c>
      <c r="G25" s="11">
        <v>6</v>
      </c>
      <c r="H25" s="11">
        <v>7</v>
      </c>
      <c r="I25" s="115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57795613.989999995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42911947.579999998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f>42447575.58+200000</f>
        <v>42647575.579999998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264372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14868659.41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14868659.41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</f>
        <v>150000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/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318600+709285.48+50000-99520.12</f>
        <v>978365.36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f>21314.34+25000</f>
        <v>46314.34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v>124690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</f>
        <v>169250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f>1500000-190000</f>
        <v>1310000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</f>
        <v>1043500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</f>
        <v>4563393.32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</f>
        <v>1287101.4099999999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</f>
        <v>180945.26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0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57905021.929999992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39428638.799999997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30286775.989999998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7553.6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9134309.2100000009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100704.94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84650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16054.94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18375678.190000001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16188017.910000002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v>360839.28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448209.72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10834326.91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3195399.72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v>758967.41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2187660.2799999998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v>2187660.2799999998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18375678.190000001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3683060.35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3683060.35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530942.11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14692617.840000002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4315201.5700000012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</f>
        <v>4315201.5700000012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9935617.3000000007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F36-76804.92-23195.08-F53-F128-F41</f>
        <v>9935617.3000000007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4399011.42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117">
        <f>F50-374391.97</f>
        <v>4189001.3500000006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117">
        <f>F51-105596.95</f>
        <v>1181504.46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117">
        <f>F52-14845.19</f>
        <v>166100.07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14692617.840000002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14692617.840000002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6" t="s">
        <v>170</v>
      </c>
      <c r="B171" s="116"/>
      <c r="C171" s="116"/>
      <c r="D171" s="116"/>
      <c r="E171" s="73"/>
      <c r="H171" s="69"/>
      <c r="I171" s="69"/>
      <c r="J171"/>
    </row>
    <row r="172" spans="1:10" x14ac:dyDescent="0.25">
      <c r="A172" s="116"/>
      <c r="B172" s="116"/>
      <c r="C172" s="116"/>
      <c r="D172" s="116"/>
      <c r="E172" s="116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H1:I1"/>
    <mergeCell ref="F2:I2"/>
    <mergeCell ref="F3:I4"/>
    <mergeCell ref="A9:I9"/>
    <mergeCell ref="A10:I10"/>
    <mergeCell ref="B13:H13"/>
    <mergeCell ref="A25:B25"/>
    <mergeCell ref="A26:B26"/>
    <mergeCell ref="A27:B27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opLeftCell="A133" zoomScale="85" zoomScaleNormal="85" zoomScaleSheetLayoutView="70" workbookViewId="0">
      <selection activeCell="F123" sqref="F123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1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264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282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283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284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13">
        <v>2</v>
      </c>
      <c r="D25" s="113">
        <v>3</v>
      </c>
      <c r="E25" s="113">
        <v>4</v>
      </c>
      <c r="F25" s="11">
        <v>5</v>
      </c>
      <c r="G25" s="11">
        <v>6</v>
      </c>
      <c r="H25" s="11">
        <v>7</v>
      </c>
      <c r="I25" s="113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57776241.989999995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42727575.579999998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f>42447575.58+200000</f>
        <v>42647575.579999998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80000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15033659.41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15033659.41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</f>
        <v>150000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/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318600+709285.48+50000-99520.12</f>
        <v>978365.36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v>21314.34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v>124690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</f>
        <v>169250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v>1500000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</f>
        <v>1043500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</f>
        <v>4563393.32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</f>
        <v>1287101.4099999999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</f>
        <v>180945.26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0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57885649.929999992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39308638.799999997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30194609.989999998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7553.6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9106475.2100000009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100332.94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84650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15682.94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18476678.190000001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16288178.630000001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v>360000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448209.72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10809326.91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3385399.72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v>694967.41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2188499.56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f>1988499.56+200000</f>
        <v>2188499.56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18476678.190000005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3683899.63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3683899.63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530942.11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14792778.560000004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4250362.2900000019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</f>
        <v>4250362.2900000019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10100617.300000001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F36-76804.92-23195.08-F53-F128-F41</f>
        <v>10100617.300000001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4564011.42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117">
        <f>F50-374391.97</f>
        <v>4189001.3500000006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117">
        <f>F51-105596.95</f>
        <v>1181504.46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117">
        <f>F52-14845.19</f>
        <v>166100.07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14792778.560000004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14792778.560000004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4" t="s">
        <v>170</v>
      </c>
      <c r="B171" s="114"/>
      <c r="C171" s="114"/>
      <c r="D171" s="114"/>
      <c r="E171" s="73"/>
      <c r="H171" s="69"/>
      <c r="I171" s="69"/>
      <c r="J171"/>
    </row>
    <row r="172" spans="1:10" x14ac:dyDescent="0.25">
      <c r="A172" s="114"/>
      <c r="B172" s="114"/>
      <c r="C172" s="114"/>
      <c r="D172" s="114"/>
      <c r="E172" s="114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H1:I1"/>
    <mergeCell ref="F2:I2"/>
    <mergeCell ref="F3:I4"/>
    <mergeCell ref="A9:I9"/>
    <mergeCell ref="A10:I10"/>
    <mergeCell ref="B13:H13"/>
    <mergeCell ref="A25:B25"/>
    <mergeCell ref="A26:B26"/>
    <mergeCell ref="A27:B27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zoomScale="85" zoomScaleNormal="85" zoomScaleSheetLayoutView="70" workbookViewId="0">
      <selection activeCell="A22" sqref="A22:B24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1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264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278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279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280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11">
        <v>2</v>
      </c>
      <c r="D25" s="111">
        <v>3</v>
      </c>
      <c r="E25" s="111">
        <v>4</v>
      </c>
      <c r="F25" s="11">
        <v>5</v>
      </c>
      <c r="G25" s="11">
        <v>6</v>
      </c>
      <c r="H25" s="11">
        <v>7</v>
      </c>
      <c r="I25" s="111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57625762.109999999</v>
      </c>
      <c r="G28" s="42">
        <f>G29+G30+G34+G35+G56+G58+G59</f>
        <v>55203672.859999999</v>
      </c>
      <c r="H28" s="42">
        <f>H29+H30+H34+H35+H56+H58+H59</f>
        <v>55815643.75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42477575.579999998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42447575.579999998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30000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15133179.529999999</v>
      </c>
      <c r="G35" s="42">
        <f>G36</f>
        <v>13250539.82</v>
      </c>
      <c r="H35" s="42">
        <f>H36</f>
        <v>13335829.82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15133179.529999999</v>
      </c>
      <c r="G36" s="43">
        <f>SUM(G38:G56)</f>
        <v>13250539.82</v>
      </c>
      <c r="H36" s="43">
        <f>SUM(H38:H53)</f>
        <v>13335829.82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200000-50000</f>
        <v>150000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f>50000+434699.72</f>
        <v>484699.72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49" t="s">
        <v>281</v>
      </c>
      <c r="B40" s="149"/>
      <c r="C40" s="19"/>
      <c r="D40" s="12"/>
      <c r="E40" s="11"/>
      <c r="F40" s="98">
        <v>159300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/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318600+709285.48+50000</f>
        <v>1077885.48</v>
      </c>
      <c r="G44" s="84">
        <f>318600+689285.48</f>
        <v>1007885.48</v>
      </c>
      <c r="H44" s="84">
        <f>318600+589385.48</f>
        <v>907985.48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v>21314.34</v>
      </c>
      <c r="G45" s="84">
        <v>21314.34</v>
      </c>
      <c r="H45" s="84">
        <v>21314.34</v>
      </c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v>124690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f>223850-54600</f>
        <v>169250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v>1500000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f>43500+1000000</f>
        <v>1043500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f>5017509.88-454116.56</f>
        <v>4563393.32</v>
      </c>
      <c r="G50" s="84">
        <f>6481945.7-2130212.37</f>
        <v>4351733.33</v>
      </c>
      <c r="H50" s="84">
        <v>4327266.79</v>
      </c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f>1138543.13+148558.28</f>
        <v>1287101.4099999999</v>
      </c>
      <c r="G51" s="84">
        <f>1241087.85-13676.41</f>
        <v>1227411.4400000002</v>
      </c>
      <c r="H51" s="84">
        <v>1220507.97</v>
      </c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f>290062.21-109116.95</f>
        <v>180945.26</v>
      </c>
      <c r="G52" s="84">
        <f>264539.09-91983.86</f>
        <v>172555.23000000004</v>
      </c>
      <c r="H52" s="84">
        <f>264539.09-92953.85</f>
        <v>171585.24000000002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>
        <v>3339630</v>
      </c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0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57735170.049999997</v>
      </c>
      <c r="G61" s="42">
        <f>G62+G72+G79+G83+G90+G92</f>
        <v>55203672.859999999</v>
      </c>
      <c r="H61" s="42">
        <f>H62+H72+H79+H83+H90+H92</f>
        <v>55815643.75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39258638.799999997</v>
      </c>
      <c r="G62" s="44">
        <f>G63+G64+G65+G66+G67+G68+G70</f>
        <v>39359024.079999998</v>
      </c>
      <c r="H62" s="44">
        <f>H63+H64+H65+H66+H67+H68+H70</f>
        <v>39576554.079999998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30173453</v>
      </c>
      <c r="G63" s="22">
        <v>30250553.829999998</v>
      </c>
      <c r="H63" s="22">
        <f>27852627.56+2565000</f>
        <v>30417627.559999999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2550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9082635.8000000007</v>
      </c>
      <c r="G66" s="22">
        <v>9105920.25</v>
      </c>
      <c r="H66" s="22">
        <f>8381746.52+774630</f>
        <v>9156376.5199999996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100332.94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84650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15682.94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18376198.309999999</v>
      </c>
      <c r="G92" s="45">
        <f>G93+G94+G95+G107+G104</f>
        <v>15744423.780000001</v>
      </c>
      <c r="H92" s="45">
        <f>H93+H94+H95+H107+H104</f>
        <v>16138864.670000002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16387698.75</v>
      </c>
      <c r="G95" s="45">
        <f>SUM(G96:G102)</f>
        <v>13721002.720000001</v>
      </c>
      <c r="H95" s="45">
        <f>SUM(H96:H102)</f>
        <v>14115443.610000001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v>360000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448209.72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10904847.029999999</v>
      </c>
      <c r="G100" s="22">
        <f>11820580.32-1525272.82</f>
        <v>10295307.5</v>
      </c>
      <c r="H100" s="22">
        <f>4300227.66+6065520.73</f>
        <v>10365748.390000001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3385399.72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v>698967.41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1988499.56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v>1988499.56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18376198.309999999</v>
      </c>
      <c r="G123" s="45">
        <f>G124+G125+G126+G130</f>
        <v>15744423.780000001</v>
      </c>
      <c r="H123" s="45">
        <f>H124+H125+H126+H130</f>
        <v>16138864.670000002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3700108.37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3700108.37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530942.11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14676089.939999999</v>
      </c>
      <c r="G130" s="44">
        <f>G131+G134+G141+G143+G146</f>
        <v>15744423.780000001</v>
      </c>
      <c r="H130" s="44">
        <f>H131+H134+H141+H143+H146</f>
        <v>16138864.670000002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4034153.549999998</v>
      </c>
      <c r="G131" s="44">
        <f>G132+G133</f>
        <v>5633318.4800000004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</f>
        <v>4034153.549999998</v>
      </c>
      <c r="G132" s="44">
        <f>G92-G126-G134-G146</f>
        <v>5633318.4800000004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10200137.42</v>
      </c>
      <c r="G134" s="44">
        <f>G135+G140</f>
        <v>10028439.82</v>
      </c>
      <c r="H134" s="44">
        <f>H135+H140</f>
        <v>9896199.8200000003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F36-76804.92-23195.08-F53-F128-F41</f>
        <v>10200137.42</v>
      </c>
      <c r="G135" s="44">
        <f>G36-76804.92-23195.08-G53</f>
        <v>10028439.82</v>
      </c>
      <c r="H135" s="44">
        <f>H36-76804.92-23195.08-H53</f>
        <v>9896199.8200000003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4612732.7899999991</v>
      </c>
      <c r="G136" s="44">
        <f>G135-G137-G138-G139</f>
        <v>1235490.05</v>
      </c>
      <c r="H136" s="44">
        <f>H135-H137-H138-H139</f>
        <v>4176839.8200000003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44">
        <f>F50-327343.06</f>
        <v>4236050.2600000007</v>
      </c>
      <c r="G137" s="44">
        <v>6481945.7000000002</v>
      </c>
      <c r="H137" s="44">
        <f>H50</f>
        <v>4327266.79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44">
        <f>F51-103371.23</f>
        <v>1183730.18</v>
      </c>
      <c r="G138" s="44">
        <v>2046995.37</v>
      </c>
      <c r="H138" s="44">
        <f>H51</f>
        <v>1220507.97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44">
        <f>F52-13321.07</f>
        <v>167624.19</v>
      </c>
      <c r="G139" s="44">
        <v>264008.7</v>
      </c>
      <c r="H139" s="44">
        <f>H52</f>
        <v>171585.24000000002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14676089.939999999</v>
      </c>
      <c r="G150" s="44">
        <f>G152+G153+G154</f>
        <v>15744423.780000001</v>
      </c>
      <c r="H150" s="44">
        <f>H152+H153+H154</f>
        <v>16138864.670000002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14676089.939999999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15744423.780000001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16138864.670000002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2" t="s">
        <v>170</v>
      </c>
      <c r="B171" s="112"/>
      <c r="C171" s="112"/>
      <c r="D171" s="112"/>
      <c r="E171" s="73"/>
      <c r="H171" s="69"/>
      <c r="I171" s="69"/>
      <c r="J171"/>
    </row>
    <row r="172" spans="1:10" x14ac:dyDescent="0.25">
      <c r="A172" s="112"/>
      <c r="B172" s="112"/>
      <c r="C172" s="112"/>
      <c r="D172" s="112"/>
      <c r="E172" s="112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H1:I1"/>
    <mergeCell ref="F2:I2"/>
    <mergeCell ref="F3:I4"/>
    <mergeCell ref="A9:I9"/>
    <mergeCell ref="A10:I10"/>
    <mergeCell ref="B13:H13"/>
    <mergeCell ref="A25:B25"/>
    <mergeCell ref="A26:B26"/>
    <mergeCell ref="A27:B2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opLeftCell="A133" zoomScale="85" zoomScaleNormal="85" zoomScaleSheetLayoutView="70" workbookViewId="0">
      <selection activeCell="F139" sqref="F139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1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264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274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275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276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18</v>
      </c>
      <c r="G23" s="11" t="s">
        <v>218</v>
      </c>
      <c r="H23" s="11" t="s">
        <v>277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09">
        <v>2</v>
      </c>
      <c r="D25" s="109">
        <v>3</v>
      </c>
      <c r="E25" s="109">
        <v>4</v>
      </c>
      <c r="F25" s="11">
        <v>5</v>
      </c>
      <c r="G25" s="11">
        <v>6</v>
      </c>
      <c r="H25" s="11">
        <v>7</v>
      </c>
      <c r="I25" s="109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56623857.619999997</v>
      </c>
      <c r="G28" s="42">
        <f>G29+G30+G34+G35+G56+G58+G59</f>
        <v>56728945.68</v>
      </c>
      <c r="H28" s="42">
        <f>H29+H30+H34+H35+H56+H58+H59</f>
        <v>46410493.019999996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42600395.579999998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42570395.579999998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30000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14008455.039999999</v>
      </c>
      <c r="G35" s="42">
        <f>G36</f>
        <v>14775812.639999999</v>
      </c>
      <c r="H35" s="42">
        <f>H36</f>
        <v>3930679.09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14008455.039999999</v>
      </c>
      <c r="G36" s="43">
        <f>SUM(G38:G56)</f>
        <v>14775812.639999999</v>
      </c>
      <c r="H36" s="43">
        <f>SUM(H38:H53)</f>
        <v>3930679.09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v>200000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v>50000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50" t="s">
        <v>248</v>
      </c>
      <c r="B40" s="151"/>
      <c r="C40" s="19"/>
      <c r="D40" s="12"/>
      <c r="E40" s="11"/>
      <c r="F40" s="98"/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/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f>318600+709285.48</f>
        <v>1027885.48</v>
      </c>
      <c r="G44" s="84">
        <v>318600</v>
      </c>
      <c r="H44" s="84">
        <v>318600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>
        <v>21314.34</v>
      </c>
      <c r="G45" s="84"/>
      <c r="H45" s="84"/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v>124690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v>223850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v>1500000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v>43500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v>5017509.88</v>
      </c>
      <c r="G50" s="84">
        <v>6481945.7000000002</v>
      </c>
      <c r="H50" s="84"/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v>1138543.1299999999</v>
      </c>
      <c r="G51" s="84">
        <v>1241087.8500000001</v>
      </c>
      <c r="H51" s="84"/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v>290062.21000000002</v>
      </c>
      <c r="G52" s="84">
        <v>264539.09000000003</v>
      </c>
      <c r="H52" s="84">
        <v>264539.09000000003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/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0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56733265.559999995</v>
      </c>
      <c r="G61" s="42">
        <f>G62+G72+G79+G83+G90+G92</f>
        <v>56728945.68</v>
      </c>
      <c r="H61" s="42">
        <f>H62+H72+H79+H83+H90+H92</f>
        <v>46410493.019999996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39258638.799999997</v>
      </c>
      <c r="G62" s="44">
        <f>G63+G64+G65+G66+G67+G68+G70</f>
        <v>39359024.079999998</v>
      </c>
      <c r="H62" s="44">
        <f>H63+H64+H65+H66+H67+H68+H70</f>
        <v>36236924.079999998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30173453</v>
      </c>
      <c r="G63" s="22">
        <v>30250553.829999998</v>
      </c>
      <c r="H63" s="22">
        <v>27852627.559999999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2550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9082635.8000000007</v>
      </c>
      <c r="G66" s="22">
        <v>9105920.25</v>
      </c>
      <c r="H66" s="22">
        <v>8381746.5199999996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100332.94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84650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15682.94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17374293.82</v>
      </c>
      <c r="G92" s="45">
        <f>G93+G94+G95+G107+G104</f>
        <v>17269696.600000001</v>
      </c>
      <c r="H92" s="45">
        <f>H93+H94+H95+H107+H104</f>
        <v>10073343.940000001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15385794.26</v>
      </c>
      <c r="G95" s="45">
        <f>SUM(G96:G102)</f>
        <v>15246275.540000001</v>
      </c>
      <c r="H95" s="45">
        <f>SUM(H96:H102)</f>
        <v>8049922.8800000008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v>360000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548209.72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f>10716342.44+21314.34+709285.48</f>
        <v>11446942.26</v>
      </c>
      <c r="G100" s="22">
        <v>11820580.32</v>
      </c>
      <c r="H100" s="22">
        <v>4300227.66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1741400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v>698967.41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1988499.56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v>1988499.56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18</v>
      </c>
      <c r="G120" s="11" t="s">
        <v>218</v>
      </c>
      <c r="H120" s="11" t="s">
        <v>277</v>
      </c>
      <c r="I120" s="137" t="s">
        <v>19</v>
      </c>
    </row>
    <row r="121" spans="1:11" ht="44.25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17374293.820000004</v>
      </c>
      <c r="G123" s="45">
        <f>G124+G125+G126+G130</f>
        <v>17269696.600000001</v>
      </c>
      <c r="H123" s="45">
        <f>H124+H125+H126+H130</f>
        <v>10073343.940000001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3629550.02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3629550.02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480143.35999999999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13744743.800000003</v>
      </c>
      <c r="G130" s="44">
        <f>G131+G134+G141+G143+G146</f>
        <v>17269696.600000001</v>
      </c>
      <c r="H130" s="44">
        <f>H131+H134+H141+H143+H146</f>
        <v>10073343.940000001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4176733.1500000013</v>
      </c>
      <c r="G131" s="44">
        <f>G132+G133</f>
        <v>5633318.4800000023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</f>
        <v>4176733.1500000013</v>
      </c>
      <c r="G132" s="44">
        <f>G92-G126-G134-G146</f>
        <v>5633318.4800000023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9126211.6799999997</v>
      </c>
      <c r="G134" s="44">
        <f>G135+G140</f>
        <v>11553712.639999999</v>
      </c>
      <c r="H134" s="44">
        <f>H135+H140</f>
        <v>3830679.09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F36-76804.92-23195.08-F53-F128-F41</f>
        <v>9126211.6799999997</v>
      </c>
      <c r="G135" s="44">
        <f>G36-76804.92-23195.08-G53</f>
        <v>11553712.639999999</v>
      </c>
      <c r="H135" s="44">
        <f>H36-76804.92-23195.08-H53</f>
        <v>3830679.09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3124131.8199999994</v>
      </c>
      <c r="G136" s="44">
        <f>G135-G137-G138-G139</f>
        <v>2760762.8699999982</v>
      </c>
      <c r="H136" s="44">
        <f>H135-H137-H138-H139</f>
        <v>3566140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44">
        <f>F50-327343.06</f>
        <v>4690166.82</v>
      </c>
      <c r="G137" s="44">
        <v>6481945.7000000002</v>
      </c>
      <c r="H137" s="44">
        <f>H50</f>
        <v>0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44">
        <f>F51-103371.23</f>
        <v>1035171.8999999999</v>
      </c>
      <c r="G138" s="44">
        <v>2046995.37</v>
      </c>
      <c r="H138" s="44">
        <f>H51</f>
        <v>0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44">
        <f>F52-13321.07</f>
        <v>276741.14</v>
      </c>
      <c r="G139" s="44">
        <v>264008.7</v>
      </c>
      <c r="H139" s="44">
        <f>H52</f>
        <v>264539.09000000003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13744743.800000003</v>
      </c>
      <c r="G150" s="44">
        <f>G152+G153+G154</f>
        <v>17269696.600000001</v>
      </c>
      <c r="H150" s="44">
        <f>H152+H153+H154</f>
        <v>10073343.940000001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13744743.800000003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17269696.600000001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10073343.940000001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0" t="s">
        <v>170</v>
      </c>
      <c r="B171" s="110"/>
      <c r="C171" s="110"/>
      <c r="D171" s="110"/>
      <c r="E171" s="73"/>
      <c r="H171" s="69"/>
      <c r="I171" s="69"/>
      <c r="J171"/>
    </row>
    <row r="172" spans="1:10" x14ac:dyDescent="0.25">
      <c r="A172" s="110"/>
      <c r="B172" s="110"/>
      <c r="C172" s="110"/>
      <c r="D172" s="110"/>
      <c r="E172" s="110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H1:I1"/>
    <mergeCell ref="F2:I2"/>
    <mergeCell ref="F3:I4"/>
    <mergeCell ref="A9:I9"/>
    <mergeCell ref="A10:I10"/>
    <mergeCell ref="B13:H13"/>
    <mergeCell ref="A25:B25"/>
    <mergeCell ref="A26:B26"/>
    <mergeCell ref="A27:B27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F161:G161"/>
    <mergeCell ref="F162:G162"/>
    <mergeCell ref="F164:G164"/>
    <mergeCell ref="F165:G165"/>
    <mergeCell ref="A115:B115"/>
    <mergeCell ref="A117:H117"/>
    <mergeCell ref="A119:A121"/>
    <mergeCell ref="B119:B121"/>
    <mergeCell ref="C119:C121"/>
    <mergeCell ref="D119:D121"/>
    <mergeCell ref="E119:E121"/>
    <mergeCell ref="F119:I119"/>
    <mergeCell ref="I120:I121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7"/>
  <sheetViews>
    <sheetView topLeftCell="A133" zoomScale="85" zoomScaleNormal="85" zoomScaleSheetLayoutView="70" workbookViewId="0">
      <selection activeCell="F137" sqref="F137:F139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1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264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268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214</v>
      </c>
      <c r="B9" s="127"/>
      <c r="C9" s="127"/>
      <c r="D9" s="127"/>
      <c r="E9" s="127"/>
      <c r="F9" s="127"/>
      <c r="G9" s="127"/>
      <c r="H9" s="127"/>
      <c r="I9" s="127"/>
    </row>
    <row r="10" spans="1:9" ht="19.5" customHeight="1" x14ac:dyDescent="0.25">
      <c r="A10" s="127" t="s">
        <v>271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270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269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17</v>
      </c>
      <c r="G23" s="11" t="s">
        <v>18</v>
      </c>
      <c r="H23" s="11" t="s">
        <v>218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09">
        <v>2</v>
      </c>
      <c r="D25" s="109">
        <v>3</v>
      </c>
      <c r="E25" s="109">
        <v>4</v>
      </c>
      <c r="F25" s="11">
        <v>5</v>
      </c>
      <c r="G25" s="11">
        <v>6</v>
      </c>
      <c r="H25" s="11">
        <v>7</v>
      </c>
      <c r="I25" s="109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0.03+145456.18+23+116905.4+3490+59274.75+109407.94</f>
        <v>434557.3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F26+F28-F61+F110-F114</f>
        <v>-5.8207660913467407E-10</v>
      </c>
      <c r="G27" s="43">
        <f>G26+G28-G61-G114</f>
        <v>0</v>
      </c>
      <c r="H27" s="43">
        <f>H26+H28-H61-H114</f>
        <v>0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F29+F30+F34+F35+F56+F58+F59</f>
        <v>55893257.799999997</v>
      </c>
      <c r="G28" s="42">
        <f>G29+G30+G34+G35+G56+G58+G59</f>
        <v>56728945.68</v>
      </c>
      <c r="H28" s="42">
        <f>H29+H30+H34+H35+H56+H58+H59</f>
        <v>46410493.019999996</v>
      </c>
      <c r="I28" s="42">
        <f>I29+I30+I34+I35+I56+I58+I59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15007</v>
      </c>
      <c r="G29" s="13">
        <v>15007</v>
      </c>
      <c r="H29" s="13">
        <v>15007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F31+F33+F57</f>
        <v>42600395.579999998</v>
      </c>
      <c r="G30" s="42">
        <f>G31+G33+G57+G58</f>
        <v>41938126.039999999</v>
      </c>
      <c r="H30" s="42">
        <f>H31+H33+H57+H58</f>
        <v>42464806.93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42570395.579999998</v>
      </c>
      <c r="G31" s="52">
        <v>41908126.039999999</v>
      </c>
      <c r="H31" s="52">
        <v>42434806.93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30000</v>
      </c>
      <c r="G33" s="13">
        <v>30000</v>
      </c>
      <c r="H33" s="13">
        <v>30000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F36+F54+F55</f>
        <v>13277855.219999999</v>
      </c>
      <c r="G35" s="42">
        <f>G36</f>
        <v>14775812.639999999</v>
      </c>
      <c r="H35" s="42">
        <f>H36</f>
        <v>3930679.09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SUM(F38:F53)</f>
        <v>13277855.219999999</v>
      </c>
      <c r="G36" s="43">
        <f>SUM(G38:G56)</f>
        <v>14775812.639999999</v>
      </c>
      <c r="H36" s="43">
        <f>SUM(H38:H53)</f>
        <v>3930679.09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v>200000</v>
      </c>
      <c r="G38" s="20">
        <v>200000</v>
      </c>
      <c r="H38" s="20">
        <v>200000</v>
      </c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v>50000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50" t="s">
        <v>248</v>
      </c>
      <c r="B40" s="151"/>
      <c r="C40" s="19"/>
      <c r="D40" s="12"/>
      <c r="E40" s="11"/>
      <c r="F40" s="98"/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v>1180000</v>
      </c>
      <c r="G41" s="20">
        <v>1180000</v>
      </c>
      <c r="H41" s="20">
        <v>1180000</v>
      </c>
      <c r="I41" s="13"/>
    </row>
    <row r="42" spans="1:9" s="46" customFormat="1" ht="33" customHeight="1" x14ac:dyDescent="0.2">
      <c r="A42" s="150" t="s">
        <v>237</v>
      </c>
      <c r="B42" s="151"/>
      <c r="C42" s="12"/>
      <c r="D42" s="12"/>
      <c r="E42" s="11"/>
      <c r="F42" s="99"/>
      <c r="G42" s="84"/>
      <c r="H42" s="84"/>
      <c r="I42" s="13"/>
    </row>
    <row r="43" spans="1:9" s="46" customFormat="1" ht="29.45" customHeight="1" x14ac:dyDescent="0.2">
      <c r="A43" s="149" t="s">
        <v>175</v>
      </c>
      <c r="B43" s="149"/>
      <c r="C43" s="12"/>
      <c r="D43" s="12"/>
      <c r="E43" s="11"/>
      <c r="F43" s="99">
        <v>69000</v>
      </c>
      <c r="G43" s="84">
        <v>69000</v>
      </c>
      <c r="H43" s="84">
        <v>69000</v>
      </c>
      <c r="I43" s="13"/>
    </row>
    <row r="44" spans="1:9" s="46" customFormat="1" ht="43.15" customHeight="1" x14ac:dyDescent="0.2">
      <c r="A44" s="156" t="s">
        <v>272</v>
      </c>
      <c r="B44" s="157"/>
      <c r="C44" s="12"/>
      <c r="D44" s="12"/>
      <c r="E44" s="11"/>
      <c r="F44" s="99">
        <v>318600</v>
      </c>
      <c r="G44" s="84">
        <v>318600</v>
      </c>
      <c r="H44" s="84">
        <v>318600</v>
      </c>
      <c r="I44" s="13"/>
    </row>
    <row r="45" spans="1:9" s="46" customFormat="1" ht="84" customHeight="1" x14ac:dyDescent="0.2">
      <c r="A45" s="156" t="s">
        <v>273</v>
      </c>
      <c r="B45" s="157"/>
      <c r="C45" s="12"/>
      <c r="D45" s="12"/>
      <c r="E45" s="11"/>
      <c r="F45" s="99"/>
      <c r="G45" s="84"/>
      <c r="H45" s="84"/>
      <c r="I45" s="13"/>
    </row>
    <row r="46" spans="1:9" s="46" customFormat="1" ht="58.5" customHeight="1" x14ac:dyDescent="0.2">
      <c r="A46" s="147" t="s">
        <v>244</v>
      </c>
      <c r="B46" s="148"/>
      <c r="C46" s="12"/>
      <c r="D46" s="12"/>
      <c r="E46" s="11"/>
      <c r="F46" s="99">
        <v>124690</v>
      </c>
      <c r="G46" s="84">
        <v>124690</v>
      </c>
      <c r="H46" s="84">
        <v>124690</v>
      </c>
      <c r="I46" s="13"/>
    </row>
    <row r="47" spans="1:9" s="46" customFormat="1" ht="60.75" customHeight="1" x14ac:dyDescent="0.2">
      <c r="A47" s="149" t="s">
        <v>178</v>
      </c>
      <c r="B47" s="149"/>
      <c r="C47" s="12"/>
      <c r="D47" s="12"/>
      <c r="E47" s="11"/>
      <c r="F47" s="99">
        <v>223850</v>
      </c>
      <c r="G47" s="84">
        <v>223850</v>
      </c>
      <c r="H47" s="84">
        <v>223850</v>
      </c>
      <c r="I47" s="13"/>
    </row>
    <row r="48" spans="1:9" s="46" customFormat="1" ht="45" customHeight="1" x14ac:dyDescent="0.2">
      <c r="A48" s="149" t="s">
        <v>192</v>
      </c>
      <c r="B48" s="149"/>
      <c r="C48" s="12"/>
      <c r="D48" s="47"/>
      <c r="E48" s="11"/>
      <c r="F48" s="99">
        <v>1500000</v>
      </c>
      <c r="G48" s="84">
        <v>1500000</v>
      </c>
      <c r="H48" s="84">
        <v>1500000</v>
      </c>
      <c r="I48" s="13"/>
    </row>
    <row r="49" spans="1:11" s="46" customFormat="1" ht="45" customHeight="1" x14ac:dyDescent="0.2">
      <c r="A49" s="150" t="s">
        <v>231</v>
      </c>
      <c r="B49" s="151"/>
      <c r="C49" s="12"/>
      <c r="D49" s="47"/>
      <c r="E49" s="11"/>
      <c r="F49" s="99">
        <v>43500</v>
      </c>
      <c r="G49" s="84"/>
      <c r="H49" s="84"/>
      <c r="I49" s="13"/>
    </row>
    <row r="50" spans="1:11" s="46" customFormat="1" ht="55.9" customHeight="1" x14ac:dyDescent="0.2">
      <c r="A50" s="152" t="s">
        <v>201</v>
      </c>
      <c r="B50" s="153"/>
      <c r="C50" s="79"/>
      <c r="D50" s="80"/>
      <c r="E50" s="81"/>
      <c r="F50" s="100">
        <v>5017509.88</v>
      </c>
      <c r="G50" s="84">
        <v>6481945.7000000002</v>
      </c>
      <c r="H50" s="84"/>
      <c r="I50" s="13"/>
      <c r="J50" s="97"/>
    </row>
    <row r="51" spans="1:11" s="46" customFormat="1" ht="54.6" customHeight="1" x14ac:dyDescent="0.2">
      <c r="A51" s="152" t="s">
        <v>202</v>
      </c>
      <c r="B51" s="153"/>
      <c r="C51" s="79"/>
      <c r="D51" s="80"/>
      <c r="E51" s="81"/>
      <c r="F51" s="100">
        <v>1138543.1299999999</v>
      </c>
      <c r="G51" s="84">
        <v>1241087.8500000001</v>
      </c>
      <c r="H51" s="84"/>
      <c r="I51" s="13"/>
    </row>
    <row r="52" spans="1:11" s="46" customFormat="1" ht="55.9" customHeight="1" x14ac:dyDescent="0.2">
      <c r="A52" s="152" t="s">
        <v>203</v>
      </c>
      <c r="B52" s="153"/>
      <c r="C52" s="79"/>
      <c r="D52" s="80"/>
      <c r="E52" s="81"/>
      <c r="F52" s="100">
        <v>290062.21000000002</v>
      </c>
      <c r="G52" s="84">
        <v>264539.09000000003</v>
      </c>
      <c r="H52" s="84">
        <v>264539.09000000003</v>
      </c>
      <c r="I52" s="13"/>
      <c r="J52" s="97"/>
    </row>
    <row r="53" spans="1:11" s="46" customFormat="1" ht="82.9" customHeight="1" x14ac:dyDescent="0.2">
      <c r="A53" s="154" t="s">
        <v>223</v>
      </c>
      <c r="B53" s="155"/>
      <c r="C53" s="79"/>
      <c r="D53" s="80"/>
      <c r="E53" s="81"/>
      <c r="F53" s="100">
        <v>3122100</v>
      </c>
      <c r="G53" s="84">
        <v>3122100</v>
      </c>
      <c r="H53" s="84"/>
      <c r="I53" s="13"/>
    </row>
    <row r="54" spans="1:11" s="46" customFormat="1" ht="15" customHeight="1" x14ac:dyDescent="0.2">
      <c r="A54" s="149" t="s">
        <v>180</v>
      </c>
      <c r="B54" s="149"/>
      <c r="C54" s="12" t="s">
        <v>51</v>
      </c>
      <c r="D54" s="12" t="s">
        <v>47</v>
      </c>
      <c r="E54" s="11"/>
      <c r="F54" s="13"/>
      <c r="G54" s="13"/>
      <c r="H54" s="13"/>
      <c r="I54" s="13"/>
    </row>
    <row r="55" spans="1:11" s="46" customFormat="1" ht="26.25" customHeight="1" x14ac:dyDescent="0.2">
      <c r="A55" s="147" t="s">
        <v>179</v>
      </c>
      <c r="B55" s="148"/>
      <c r="C55" s="12" t="s">
        <v>52</v>
      </c>
      <c r="D55" s="12" t="s">
        <v>47</v>
      </c>
      <c r="E55" s="11"/>
      <c r="F55" s="13">
        <v>0</v>
      </c>
      <c r="G55" s="13"/>
      <c r="H55" s="13"/>
      <c r="I55" s="13"/>
    </row>
    <row r="56" spans="1:11" s="46" customFormat="1" ht="15" customHeight="1" x14ac:dyDescent="0.2">
      <c r="A56" s="149" t="s">
        <v>53</v>
      </c>
      <c r="B56" s="149"/>
      <c r="C56" s="12" t="s">
        <v>54</v>
      </c>
      <c r="D56" s="12" t="s">
        <v>55</v>
      </c>
      <c r="E56" s="11"/>
      <c r="F56" s="13"/>
      <c r="G56" s="13"/>
      <c r="H56" s="13"/>
      <c r="I56" s="13"/>
    </row>
    <row r="57" spans="1:11" s="4" customFormat="1" ht="15" customHeight="1" x14ac:dyDescent="0.2">
      <c r="A57" s="149" t="s">
        <v>56</v>
      </c>
      <c r="B57" s="149"/>
      <c r="C57" s="12" t="s">
        <v>57</v>
      </c>
      <c r="D57" s="12" t="s">
        <v>55</v>
      </c>
      <c r="E57" s="11"/>
      <c r="F57" s="13"/>
      <c r="G57" s="13"/>
      <c r="H57" s="13"/>
      <c r="I57" s="13"/>
    </row>
    <row r="58" spans="1:11" s="4" customFormat="1" ht="15" customHeight="1" x14ac:dyDescent="0.2">
      <c r="A58" s="149" t="s">
        <v>58</v>
      </c>
      <c r="B58" s="149"/>
      <c r="C58" s="12" t="s">
        <v>59</v>
      </c>
      <c r="D58" s="12" t="s">
        <v>60</v>
      </c>
      <c r="E58" s="11"/>
      <c r="F58" s="13"/>
      <c r="G58" s="13"/>
      <c r="H58" s="13"/>
      <c r="I58" s="13"/>
    </row>
    <row r="59" spans="1:11" s="4" customFormat="1" ht="15" customHeight="1" x14ac:dyDescent="0.2">
      <c r="A59" s="149" t="s">
        <v>61</v>
      </c>
      <c r="B59" s="149"/>
      <c r="C59" s="12" t="s">
        <v>62</v>
      </c>
      <c r="D59" s="12" t="s">
        <v>25</v>
      </c>
      <c r="E59" s="11"/>
      <c r="F59" s="13"/>
      <c r="G59" s="13"/>
      <c r="H59" s="13"/>
      <c r="I59" s="13"/>
    </row>
    <row r="60" spans="1:11" s="4" customFormat="1" ht="38.450000000000003" customHeight="1" x14ac:dyDescent="0.2">
      <c r="A60" s="149" t="s">
        <v>63</v>
      </c>
      <c r="B60" s="149"/>
      <c r="C60" s="12" t="s">
        <v>64</v>
      </c>
      <c r="D60" s="12" t="s">
        <v>65</v>
      </c>
      <c r="E60" s="11"/>
      <c r="F60" s="13"/>
      <c r="G60" s="13"/>
      <c r="H60" s="13"/>
      <c r="I60" s="13" t="s">
        <v>25</v>
      </c>
    </row>
    <row r="61" spans="1:11" s="4" customFormat="1" ht="15" customHeight="1" x14ac:dyDescent="0.2">
      <c r="A61" s="146" t="s">
        <v>66</v>
      </c>
      <c r="B61" s="146"/>
      <c r="C61" s="15" t="s">
        <v>67</v>
      </c>
      <c r="D61" s="15" t="s">
        <v>25</v>
      </c>
      <c r="E61" s="16">
        <v>200</v>
      </c>
      <c r="F61" s="42">
        <f>F62+F72+F79+F83+F90+F92</f>
        <v>56002665.739999995</v>
      </c>
      <c r="G61" s="42">
        <f>G62+G72+G79+G83+G90+G92</f>
        <v>56728945.68</v>
      </c>
      <c r="H61" s="42">
        <f>H62+H72+H79+H83+H90+H92</f>
        <v>46410493.019999996</v>
      </c>
      <c r="I61" s="17"/>
    </row>
    <row r="62" spans="1:11" s="4" customFormat="1" ht="27" customHeight="1" x14ac:dyDescent="0.2">
      <c r="A62" s="126" t="s">
        <v>68</v>
      </c>
      <c r="B62" s="126"/>
      <c r="C62" s="21">
        <v>2100</v>
      </c>
      <c r="D62" s="15" t="s">
        <v>25</v>
      </c>
      <c r="E62" s="21"/>
      <c r="F62" s="44">
        <f>F63+F64+F65+F66+F67+F68+F70</f>
        <v>39258638.799999997</v>
      </c>
      <c r="G62" s="44">
        <f>G63+G64+G65+G66+G67+G68+G70</f>
        <v>39359024.079999998</v>
      </c>
      <c r="H62" s="44">
        <f>H63+H64+H65+H66+H67+H68+H70</f>
        <v>36236924.079999998</v>
      </c>
      <c r="I62" s="22" t="s">
        <v>25</v>
      </c>
    </row>
    <row r="63" spans="1:11" s="4" customFormat="1" ht="25.5" customHeight="1" x14ac:dyDescent="0.2">
      <c r="A63" s="126" t="s">
        <v>69</v>
      </c>
      <c r="B63" s="126"/>
      <c r="C63" s="21">
        <v>2110</v>
      </c>
      <c r="D63" s="21">
        <v>111</v>
      </c>
      <c r="E63" s="21"/>
      <c r="F63" s="22">
        <v>30173453</v>
      </c>
      <c r="G63" s="22">
        <v>30250553.829999998</v>
      </c>
      <c r="H63" s="22">
        <v>27852627.559999999</v>
      </c>
      <c r="I63" s="22" t="s">
        <v>25</v>
      </c>
      <c r="K63" s="90"/>
    </row>
    <row r="64" spans="1:11" s="4" customFormat="1" ht="15" customHeight="1" x14ac:dyDescent="0.2">
      <c r="A64" s="126" t="s">
        <v>70</v>
      </c>
      <c r="B64" s="126"/>
      <c r="C64" s="21">
        <v>2120</v>
      </c>
      <c r="D64" s="21">
        <v>112</v>
      </c>
      <c r="E64" s="21"/>
      <c r="F64" s="22">
        <v>2550</v>
      </c>
      <c r="G64" s="22">
        <v>2550</v>
      </c>
      <c r="H64" s="22">
        <v>2550</v>
      </c>
      <c r="I64" s="22" t="s">
        <v>25</v>
      </c>
      <c r="K64" s="90"/>
    </row>
    <row r="65" spans="1:11" s="4" customFormat="1" ht="28.5" customHeight="1" x14ac:dyDescent="0.2">
      <c r="A65" s="126" t="s">
        <v>71</v>
      </c>
      <c r="B65" s="126"/>
      <c r="C65" s="21">
        <v>2130</v>
      </c>
      <c r="D65" s="21">
        <v>113</v>
      </c>
      <c r="E65" s="21"/>
      <c r="F65" s="22"/>
      <c r="G65" s="22"/>
      <c r="H65" s="22"/>
      <c r="I65" s="22" t="s">
        <v>25</v>
      </c>
      <c r="K65" s="90"/>
    </row>
    <row r="66" spans="1:11" s="4" customFormat="1" ht="28.9" customHeight="1" x14ac:dyDescent="0.2">
      <c r="A66" s="126" t="s">
        <v>72</v>
      </c>
      <c r="B66" s="126"/>
      <c r="C66" s="21">
        <v>2140</v>
      </c>
      <c r="D66" s="21">
        <v>119</v>
      </c>
      <c r="E66" s="21"/>
      <c r="F66" s="22">
        <v>9082635.8000000007</v>
      </c>
      <c r="G66" s="22">
        <v>9105920.25</v>
      </c>
      <c r="H66" s="22">
        <v>8381746.5199999996</v>
      </c>
      <c r="I66" s="22" t="s">
        <v>25</v>
      </c>
    </row>
    <row r="67" spans="1:11" s="4" customFormat="1" ht="16.899999999999999" customHeight="1" x14ac:dyDescent="0.2">
      <c r="A67" s="126" t="s">
        <v>73</v>
      </c>
      <c r="B67" s="126"/>
      <c r="C67" s="21">
        <v>2150</v>
      </c>
      <c r="D67" s="21">
        <v>131</v>
      </c>
      <c r="E67" s="21"/>
      <c r="F67" s="22"/>
      <c r="G67" s="22"/>
      <c r="H67" s="22"/>
      <c r="I67" s="22" t="s">
        <v>25</v>
      </c>
    </row>
    <row r="68" spans="1:11" s="4" customFormat="1" ht="27" customHeight="1" x14ac:dyDescent="0.2">
      <c r="A68" s="126" t="s">
        <v>74</v>
      </c>
      <c r="B68" s="126"/>
      <c r="C68" s="21">
        <v>2160</v>
      </c>
      <c r="D68" s="21">
        <v>133</v>
      </c>
      <c r="E68" s="21"/>
      <c r="F68" s="22"/>
      <c r="G68" s="22"/>
      <c r="H68" s="22"/>
      <c r="I68" s="22" t="s">
        <v>25</v>
      </c>
    </row>
    <row r="69" spans="1:11" s="4" customFormat="1" ht="15.75" customHeight="1" x14ac:dyDescent="0.2">
      <c r="A69" s="126" t="s">
        <v>75</v>
      </c>
      <c r="B69" s="126"/>
      <c r="C69" s="21">
        <v>2170</v>
      </c>
      <c r="D69" s="21">
        <v>134</v>
      </c>
      <c r="E69" s="21"/>
      <c r="F69" s="22"/>
      <c r="G69" s="22"/>
      <c r="H69" s="22"/>
      <c r="I69" s="22"/>
    </row>
    <row r="70" spans="1:11" s="4" customFormat="1" ht="30.75" customHeight="1" x14ac:dyDescent="0.2">
      <c r="A70" s="126" t="s">
        <v>76</v>
      </c>
      <c r="B70" s="126"/>
      <c r="C70" s="21">
        <v>2180</v>
      </c>
      <c r="D70" s="21">
        <v>139</v>
      </c>
      <c r="E70" s="21"/>
      <c r="F70" s="44">
        <f>F71</f>
        <v>0</v>
      </c>
      <c r="G70" s="44">
        <f>G71</f>
        <v>0</v>
      </c>
      <c r="H70" s="44">
        <f>H71</f>
        <v>0</v>
      </c>
      <c r="I70" s="22" t="s">
        <v>25</v>
      </c>
    </row>
    <row r="71" spans="1:11" s="4" customFormat="1" ht="25.5" customHeight="1" x14ac:dyDescent="0.2">
      <c r="A71" s="126" t="s">
        <v>77</v>
      </c>
      <c r="B71" s="126"/>
      <c r="C71" s="21">
        <v>2181</v>
      </c>
      <c r="D71" s="21">
        <v>139</v>
      </c>
      <c r="E71" s="21"/>
      <c r="F71" s="22"/>
      <c r="G71" s="22"/>
      <c r="H71" s="22"/>
      <c r="I71" s="22" t="s">
        <v>25</v>
      </c>
    </row>
    <row r="72" spans="1:11" s="76" customFormat="1" ht="15" customHeight="1" x14ac:dyDescent="0.2">
      <c r="A72" s="141" t="s">
        <v>78</v>
      </c>
      <c r="B72" s="141"/>
      <c r="C72" s="25">
        <v>2200</v>
      </c>
      <c r="D72" s="25">
        <v>300</v>
      </c>
      <c r="E72" s="25"/>
      <c r="F72" s="45">
        <f>F73+F76+F77+F78</f>
        <v>0</v>
      </c>
      <c r="G72" s="45">
        <f>G73+G76+G77+G78</f>
        <v>0</v>
      </c>
      <c r="H72" s="45">
        <f>H73+H76+H77+H78</f>
        <v>0</v>
      </c>
      <c r="I72" s="26" t="s">
        <v>25</v>
      </c>
    </row>
    <row r="73" spans="1:11" s="4" customFormat="1" ht="24.6" customHeight="1" x14ac:dyDescent="0.2">
      <c r="A73" s="126" t="s">
        <v>79</v>
      </c>
      <c r="B73" s="126"/>
      <c r="C73" s="21">
        <v>2210</v>
      </c>
      <c r="D73" s="21">
        <v>320</v>
      </c>
      <c r="E73" s="21"/>
      <c r="F73" s="44">
        <f>SUM(F74:F75)</f>
        <v>0</v>
      </c>
      <c r="G73" s="44">
        <f>SUM(G74:G74)</f>
        <v>0</v>
      </c>
      <c r="H73" s="44">
        <f>SUM(H74:H74)</f>
        <v>0</v>
      </c>
      <c r="I73" s="22" t="s">
        <v>25</v>
      </c>
    </row>
    <row r="74" spans="1:11" s="4" customFormat="1" ht="36.6" customHeight="1" x14ac:dyDescent="0.2">
      <c r="A74" s="126" t="s">
        <v>80</v>
      </c>
      <c r="B74" s="126"/>
      <c r="C74" s="21">
        <v>2211</v>
      </c>
      <c r="D74" s="21">
        <v>321</v>
      </c>
      <c r="E74" s="21"/>
      <c r="F74" s="22"/>
      <c r="G74" s="22"/>
      <c r="H74" s="22"/>
      <c r="I74" s="22" t="s">
        <v>25</v>
      </c>
    </row>
    <row r="75" spans="1:11" s="4" customFormat="1" ht="15.6" customHeight="1" x14ac:dyDescent="0.2">
      <c r="A75" s="139" t="s">
        <v>181</v>
      </c>
      <c r="B75" s="140"/>
      <c r="C75" s="21">
        <v>2212</v>
      </c>
      <c r="D75" s="21">
        <v>321</v>
      </c>
      <c r="E75" s="21"/>
      <c r="F75" s="22"/>
      <c r="G75" s="22"/>
      <c r="H75" s="22"/>
      <c r="I75" s="22" t="s">
        <v>25</v>
      </c>
    </row>
    <row r="76" spans="1:11" s="4" customFormat="1" ht="25.9" customHeight="1" x14ac:dyDescent="0.2">
      <c r="A76" s="126" t="s">
        <v>81</v>
      </c>
      <c r="B76" s="126"/>
      <c r="C76" s="21">
        <v>2220</v>
      </c>
      <c r="D76" s="21">
        <v>340</v>
      </c>
      <c r="E76" s="21"/>
      <c r="F76" s="22"/>
      <c r="G76" s="22"/>
      <c r="H76" s="22"/>
      <c r="I76" s="22" t="s">
        <v>25</v>
      </c>
    </row>
    <row r="77" spans="1:11" s="4" customFormat="1" ht="39" customHeight="1" x14ac:dyDescent="0.2">
      <c r="A77" s="126" t="s">
        <v>82</v>
      </c>
      <c r="B77" s="126"/>
      <c r="C77" s="21">
        <v>2230</v>
      </c>
      <c r="D77" s="21">
        <v>350</v>
      </c>
      <c r="E77" s="21"/>
      <c r="F77" s="22"/>
      <c r="G77" s="22"/>
      <c r="H77" s="22"/>
      <c r="I77" s="22" t="s">
        <v>25</v>
      </c>
    </row>
    <row r="78" spans="1:11" s="4" customFormat="1" ht="16.149999999999999" customHeight="1" x14ac:dyDescent="0.2">
      <c r="A78" s="126" t="s">
        <v>83</v>
      </c>
      <c r="B78" s="126"/>
      <c r="C78" s="21">
        <v>2240</v>
      </c>
      <c r="D78" s="21">
        <v>360</v>
      </c>
      <c r="E78" s="21"/>
      <c r="F78" s="22"/>
      <c r="G78" s="22"/>
      <c r="H78" s="22"/>
      <c r="I78" s="22" t="s">
        <v>25</v>
      </c>
    </row>
    <row r="79" spans="1:11" s="76" customFormat="1" ht="15" customHeight="1" x14ac:dyDescent="0.2">
      <c r="A79" s="141" t="s">
        <v>84</v>
      </c>
      <c r="B79" s="141"/>
      <c r="C79" s="25">
        <v>2300</v>
      </c>
      <c r="D79" s="25">
        <v>850</v>
      </c>
      <c r="E79" s="25"/>
      <c r="F79" s="45">
        <f>SUM(F80:F82)</f>
        <v>100332.94</v>
      </c>
      <c r="G79" s="45">
        <f>SUM(G80:G82)</f>
        <v>100225</v>
      </c>
      <c r="H79" s="45">
        <f>SUM(H80:H82)</f>
        <v>100225</v>
      </c>
      <c r="I79" s="26" t="s">
        <v>25</v>
      </c>
    </row>
    <row r="80" spans="1:11" s="4" customFormat="1" ht="24" customHeight="1" x14ac:dyDescent="0.2">
      <c r="A80" s="126" t="s">
        <v>85</v>
      </c>
      <c r="B80" s="126"/>
      <c r="C80" s="21">
        <v>2310</v>
      </c>
      <c r="D80" s="21">
        <v>851</v>
      </c>
      <c r="E80" s="21"/>
      <c r="F80" s="22">
        <v>84650</v>
      </c>
      <c r="G80" s="22">
        <v>84650</v>
      </c>
      <c r="H80" s="22">
        <v>84650</v>
      </c>
      <c r="I80" s="22" t="s">
        <v>25</v>
      </c>
    </row>
    <row r="81" spans="1:9" s="4" customFormat="1" ht="30" customHeight="1" x14ac:dyDescent="0.2">
      <c r="A81" s="126" t="s">
        <v>86</v>
      </c>
      <c r="B81" s="126"/>
      <c r="C81" s="21">
        <v>2320</v>
      </c>
      <c r="D81" s="21">
        <v>852</v>
      </c>
      <c r="E81" s="21"/>
      <c r="F81" s="22">
        <v>0</v>
      </c>
      <c r="G81" s="22"/>
      <c r="H81" s="22"/>
      <c r="I81" s="22" t="s">
        <v>25</v>
      </c>
    </row>
    <row r="82" spans="1:9" s="4" customFormat="1" ht="13.5" customHeight="1" x14ac:dyDescent="0.2">
      <c r="A82" s="126" t="s">
        <v>87</v>
      </c>
      <c r="B82" s="126"/>
      <c r="C82" s="21">
        <v>2330</v>
      </c>
      <c r="D82" s="21">
        <v>853</v>
      </c>
      <c r="E82" s="21"/>
      <c r="F82" s="22">
        <v>15682.94</v>
      </c>
      <c r="G82" s="22">
        <v>15575</v>
      </c>
      <c r="H82" s="22">
        <v>15575</v>
      </c>
      <c r="I82" s="22" t="s">
        <v>25</v>
      </c>
    </row>
    <row r="83" spans="1:9" s="4" customFormat="1" ht="13.5" customHeight="1" x14ac:dyDescent="0.2">
      <c r="A83" s="126" t="s">
        <v>88</v>
      </c>
      <c r="B83" s="126"/>
      <c r="C83" s="21">
        <v>2400</v>
      </c>
      <c r="D83" s="21" t="s">
        <v>25</v>
      </c>
      <c r="E83" s="21"/>
      <c r="F83" s="44">
        <f>SUM(F84:F86)</f>
        <v>0</v>
      </c>
      <c r="G83" s="44">
        <f>SUM(G84:G86)</f>
        <v>0</v>
      </c>
      <c r="H83" s="44">
        <f>SUM(H84:H86)</f>
        <v>0</v>
      </c>
      <c r="I83" s="22" t="s">
        <v>25</v>
      </c>
    </row>
    <row r="84" spans="1:9" s="4" customFormat="1" ht="21.6" customHeight="1" x14ac:dyDescent="0.2">
      <c r="A84" s="126" t="s">
        <v>89</v>
      </c>
      <c r="B84" s="126"/>
      <c r="C84" s="21">
        <v>2410</v>
      </c>
      <c r="D84" s="21">
        <v>613</v>
      </c>
      <c r="E84" s="21"/>
      <c r="F84" s="22"/>
      <c r="G84" s="22"/>
      <c r="H84" s="22"/>
      <c r="I84" s="22" t="s">
        <v>25</v>
      </c>
    </row>
    <row r="85" spans="1:9" s="4" customFormat="1" ht="15" customHeight="1" x14ac:dyDescent="0.2">
      <c r="A85" s="126" t="s">
        <v>90</v>
      </c>
      <c r="B85" s="126"/>
      <c r="C85" s="21">
        <v>2420</v>
      </c>
      <c r="D85" s="21">
        <v>623</v>
      </c>
      <c r="E85" s="21"/>
      <c r="F85" s="22"/>
      <c r="G85" s="22"/>
      <c r="H85" s="22"/>
      <c r="I85" s="22" t="s">
        <v>25</v>
      </c>
    </row>
    <row r="86" spans="1:9" s="4" customFormat="1" ht="30" customHeight="1" x14ac:dyDescent="0.2">
      <c r="A86" s="126" t="s">
        <v>91</v>
      </c>
      <c r="B86" s="126"/>
      <c r="C86" s="21">
        <v>2430</v>
      </c>
      <c r="D86" s="21">
        <v>634</v>
      </c>
      <c r="E86" s="21"/>
      <c r="F86" s="22"/>
      <c r="G86" s="22"/>
      <c r="H86" s="22"/>
      <c r="I86" s="22" t="s">
        <v>25</v>
      </c>
    </row>
    <row r="87" spans="1:9" s="4" customFormat="1" ht="16.899999999999999" customHeight="1" x14ac:dyDescent="0.2">
      <c r="A87" s="139" t="s">
        <v>92</v>
      </c>
      <c r="B87" s="140"/>
      <c r="C87" s="21">
        <v>2440</v>
      </c>
      <c r="D87" s="21">
        <v>810</v>
      </c>
      <c r="E87" s="21"/>
      <c r="F87" s="22"/>
      <c r="G87" s="22"/>
      <c r="H87" s="22"/>
      <c r="I87" s="22"/>
    </row>
    <row r="88" spans="1:9" s="4" customFormat="1" ht="16.899999999999999" customHeight="1" x14ac:dyDescent="0.2">
      <c r="A88" s="139" t="s">
        <v>93</v>
      </c>
      <c r="B88" s="140"/>
      <c r="C88" s="21">
        <v>2450</v>
      </c>
      <c r="D88" s="21">
        <v>862</v>
      </c>
      <c r="E88" s="21"/>
      <c r="F88" s="22"/>
      <c r="G88" s="22"/>
      <c r="H88" s="22"/>
      <c r="I88" s="22"/>
    </row>
    <row r="89" spans="1:9" s="4" customFormat="1" ht="30.75" customHeight="1" x14ac:dyDescent="0.2">
      <c r="A89" s="139" t="s">
        <v>94</v>
      </c>
      <c r="B89" s="140"/>
      <c r="C89" s="21">
        <v>2460</v>
      </c>
      <c r="D89" s="21">
        <v>863</v>
      </c>
      <c r="E89" s="21"/>
      <c r="F89" s="22"/>
      <c r="G89" s="22"/>
      <c r="H89" s="22"/>
      <c r="I89" s="22"/>
    </row>
    <row r="90" spans="1:9" s="4" customFormat="1" ht="15" customHeight="1" x14ac:dyDescent="0.2">
      <c r="A90" s="126" t="s">
        <v>95</v>
      </c>
      <c r="B90" s="126"/>
      <c r="C90" s="21">
        <v>2500</v>
      </c>
      <c r="D90" s="21" t="s">
        <v>25</v>
      </c>
      <c r="E90" s="21"/>
      <c r="F90" s="44">
        <f>F91</f>
        <v>0</v>
      </c>
      <c r="G90" s="44">
        <f>G91</f>
        <v>0</v>
      </c>
      <c r="H90" s="44">
        <f>H91</f>
        <v>0</v>
      </c>
      <c r="I90" s="22" t="s">
        <v>25</v>
      </c>
    </row>
    <row r="91" spans="1:9" s="4" customFormat="1" ht="31.5" customHeight="1" x14ac:dyDescent="0.2">
      <c r="A91" s="126" t="s">
        <v>96</v>
      </c>
      <c r="B91" s="126"/>
      <c r="C91" s="21">
        <v>2520</v>
      </c>
      <c r="D91" s="21">
        <v>831</v>
      </c>
      <c r="E91" s="21"/>
      <c r="F91" s="22"/>
      <c r="G91" s="22"/>
      <c r="H91" s="22"/>
      <c r="I91" s="22" t="s">
        <v>25</v>
      </c>
    </row>
    <row r="92" spans="1:9" s="76" customFormat="1" ht="15" customHeight="1" x14ac:dyDescent="0.2">
      <c r="A92" s="141" t="s">
        <v>97</v>
      </c>
      <c r="B92" s="141"/>
      <c r="C92" s="25">
        <v>2600</v>
      </c>
      <c r="D92" s="25" t="s">
        <v>25</v>
      </c>
      <c r="E92" s="25"/>
      <c r="F92" s="45">
        <f>F93+F94+F95+F107+F104</f>
        <v>16643694</v>
      </c>
      <c r="G92" s="45">
        <f>G93+G94+G95+G107+G104</f>
        <v>17269696.600000001</v>
      </c>
      <c r="H92" s="45">
        <f>H93+H94+H95+H107+H104</f>
        <v>10073343.940000001</v>
      </c>
      <c r="I92" s="26"/>
    </row>
    <row r="93" spans="1:9" s="4" customFormat="1" ht="30" customHeight="1" x14ac:dyDescent="0.2">
      <c r="A93" s="126" t="s">
        <v>98</v>
      </c>
      <c r="B93" s="126"/>
      <c r="C93" s="21">
        <v>2610</v>
      </c>
      <c r="D93" s="21">
        <v>241</v>
      </c>
      <c r="E93" s="21"/>
      <c r="F93" s="22"/>
      <c r="G93" s="22"/>
      <c r="H93" s="22"/>
      <c r="I93" s="22"/>
    </row>
    <row r="94" spans="1:9" s="4" customFormat="1" ht="27.75" customHeight="1" x14ac:dyDescent="0.2">
      <c r="A94" s="126" t="s">
        <v>99</v>
      </c>
      <c r="B94" s="126"/>
      <c r="C94" s="21">
        <v>2630</v>
      </c>
      <c r="D94" s="21">
        <v>243</v>
      </c>
      <c r="E94" s="21"/>
      <c r="F94" s="22"/>
      <c r="G94" s="22"/>
      <c r="H94" s="22"/>
      <c r="I94" s="22"/>
    </row>
    <row r="95" spans="1:9" s="76" customFormat="1" ht="15" customHeight="1" x14ac:dyDescent="0.2">
      <c r="A95" s="141" t="s">
        <v>100</v>
      </c>
      <c r="B95" s="141"/>
      <c r="C95" s="25">
        <v>2640</v>
      </c>
      <c r="D95" s="25">
        <v>244</v>
      </c>
      <c r="E95" s="25"/>
      <c r="F95" s="45">
        <f>SUM(F96:F103)</f>
        <v>14655194.439999999</v>
      </c>
      <c r="G95" s="45">
        <f>SUM(G96:G102)</f>
        <v>15246275.540000001</v>
      </c>
      <c r="H95" s="45">
        <f>SUM(H96:H102)</f>
        <v>8049922.8800000008</v>
      </c>
      <c r="I95" s="26"/>
    </row>
    <row r="96" spans="1:9" s="4" customFormat="1" ht="14.45" customHeight="1" x14ac:dyDescent="0.2">
      <c r="A96" s="144" t="s">
        <v>101</v>
      </c>
      <c r="B96" s="145"/>
      <c r="C96" s="21"/>
      <c r="D96" s="23"/>
      <c r="E96" s="21"/>
      <c r="F96" s="22"/>
      <c r="G96" s="22"/>
      <c r="H96" s="22"/>
      <c r="I96" s="22"/>
    </row>
    <row r="97" spans="1:9" s="4" customFormat="1" ht="16.149999999999999" customHeight="1" x14ac:dyDescent="0.2">
      <c r="A97" s="126" t="s">
        <v>102</v>
      </c>
      <c r="B97" s="126"/>
      <c r="C97" s="21">
        <v>2641</v>
      </c>
      <c r="D97" s="23" t="s">
        <v>103</v>
      </c>
      <c r="E97" s="21"/>
      <c r="F97" s="22">
        <v>590274.87</v>
      </c>
      <c r="G97" s="22">
        <v>570839.59</v>
      </c>
      <c r="H97" s="22">
        <v>570839.59</v>
      </c>
      <c r="I97" s="22"/>
    </row>
    <row r="98" spans="1:9" s="4" customFormat="1" ht="13.15" customHeight="1" x14ac:dyDescent="0.2">
      <c r="A98" s="126" t="s">
        <v>104</v>
      </c>
      <c r="B98" s="126"/>
      <c r="C98" s="21">
        <v>2642</v>
      </c>
      <c r="D98" s="23" t="s">
        <v>103</v>
      </c>
      <c r="E98" s="21"/>
      <c r="F98" s="22">
        <v>360000</v>
      </c>
      <c r="G98" s="22">
        <v>325078.5</v>
      </c>
      <c r="H98" s="22">
        <v>325078.5</v>
      </c>
      <c r="I98" s="22"/>
    </row>
    <row r="99" spans="1:9" s="4" customFormat="1" ht="15" customHeight="1" x14ac:dyDescent="0.2">
      <c r="A99" s="144" t="s">
        <v>105</v>
      </c>
      <c r="B99" s="145"/>
      <c r="C99" s="24">
        <v>2643</v>
      </c>
      <c r="D99" s="23" t="s">
        <v>103</v>
      </c>
      <c r="E99" s="21"/>
      <c r="F99" s="22">
        <v>548209.72</v>
      </c>
      <c r="G99" s="22">
        <v>548209.72</v>
      </c>
      <c r="H99" s="22">
        <v>548209.72</v>
      </c>
      <c r="I99" s="22"/>
    </row>
    <row r="100" spans="1:9" s="4" customFormat="1" ht="14.45" customHeight="1" x14ac:dyDescent="0.2">
      <c r="A100" s="126" t="s">
        <v>106</v>
      </c>
      <c r="B100" s="126"/>
      <c r="C100" s="21">
        <v>2644</v>
      </c>
      <c r="D100" s="23" t="s">
        <v>103</v>
      </c>
      <c r="E100" s="21"/>
      <c r="F100" s="22">
        <v>10716342.439999999</v>
      </c>
      <c r="G100" s="22">
        <v>11820580.32</v>
      </c>
      <c r="H100" s="22">
        <v>4300227.66</v>
      </c>
      <c r="I100" s="22"/>
    </row>
    <row r="101" spans="1:9" s="4" customFormat="1" ht="16.149999999999999" customHeight="1" x14ac:dyDescent="0.2">
      <c r="A101" s="126" t="s">
        <v>107</v>
      </c>
      <c r="B101" s="126"/>
      <c r="C101" s="24">
        <v>2645</v>
      </c>
      <c r="D101" s="23" t="s">
        <v>103</v>
      </c>
      <c r="E101" s="21"/>
      <c r="F101" s="22">
        <v>1741400</v>
      </c>
      <c r="G101" s="22">
        <v>1741400</v>
      </c>
      <c r="H101" s="22">
        <v>1741400</v>
      </c>
      <c r="I101" s="22"/>
    </row>
    <row r="102" spans="1:9" s="4" customFormat="1" ht="13.9" customHeight="1" x14ac:dyDescent="0.2">
      <c r="A102" s="126" t="s">
        <v>108</v>
      </c>
      <c r="B102" s="126"/>
      <c r="C102" s="24">
        <v>2646</v>
      </c>
      <c r="D102" s="23" t="s">
        <v>103</v>
      </c>
      <c r="E102" s="21"/>
      <c r="F102" s="22">
        <v>698967.41</v>
      </c>
      <c r="G102" s="22">
        <v>240167.41</v>
      </c>
      <c r="H102" s="22">
        <v>564167.41</v>
      </c>
      <c r="I102" s="22"/>
    </row>
    <row r="103" spans="1:9" s="4" customFormat="1" ht="10.15" customHeight="1" x14ac:dyDescent="0.2">
      <c r="A103" s="139"/>
      <c r="B103" s="140"/>
      <c r="C103" s="24"/>
      <c r="D103" s="23"/>
      <c r="E103" s="21"/>
      <c r="F103" s="22"/>
      <c r="G103" s="22"/>
      <c r="H103" s="22"/>
      <c r="I103" s="22"/>
    </row>
    <row r="104" spans="1:9" s="76" customFormat="1" ht="17.45" customHeight="1" x14ac:dyDescent="0.2">
      <c r="A104" s="142" t="s">
        <v>211</v>
      </c>
      <c r="B104" s="143" t="s">
        <v>211</v>
      </c>
      <c r="C104" s="74">
        <v>2660</v>
      </c>
      <c r="D104" s="75" t="s">
        <v>212</v>
      </c>
      <c r="E104" s="25"/>
      <c r="F104" s="77">
        <f>F106</f>
        <v>1988499.56</v>
      </c>
      <c r="G104" s="77">
        <f>G106</f>
        <v>2023421.06</v>
      </c>
      <c r="H104" s="77">
        <f>H106</f>
        <v>2023421.06</v>
      </c>
      <c r="I104" s="26"/>
    </row>
    <row r="105" spans="1:9" s="4" customFormat="1" ht="17.45" customHeight="1" x14ac:dyDescent="0.2">
      <c r="A105" s="144" t="s">
        <v>50</v>
      </c>
      <c r="B105" s="145" t="s">
        <v>50</v>
      </c>
      <c r="C105" s="24"/>
      <c r="D105" s="23"/>
      <c r="E105" s="21"/>
      <c r="F105" s="22"/>
      <c r="G105" s="22"/>
      <c r="H105" s="22"/>
      <c r="I105" s="22"/>
    </row>
    <row r="106" spans="1:9" s="4" customFormat="1" ht="17.45" customHeight="1" x14ac:dyDescent="0.2">
      <c r="A106" s="144" t="s">
        <v>104</v>
      </c>
      <c r="B106" s="145" t="s">
        <v>104</v>
      </c>
      <c r="C106" s="24">
        <v>2661</v>
      </c>
      <c r="D106" s="23" t="s">
        <v>212</v>
      </c>
      <c r="E106" s="21"/>
      <c r="F106" s="22">
        <v>1988499.56</v>
      </c>
      <c r="G106" s="22">
        <v>2023421.06</v>
      </c>
      <c r="H106" s="22">
        <v>2023421.06</v>
      </c>
      <c r="I106" s="22"/>
    </row>
    <row r="107" spans="1:9" s="4" customFormat="1" ht="21.6" customHeight="1" x14ac:dyDescent="0.2">
      <c r="A107" s="139" t="s">
        <v>109</v>
      </c>
      <c r="B107" s="140"/>
      <c r="C107" s="21">
        <v>2650</v>
      </c>
      <c r="D107" s="21">
        <v>400</v>
      </c>
      <c r="E107" s="21"/>
      <c r="F107" s="22">
        <f>F108+F109</f>
        <v>0</v>
      </c>
      <c r="G107" s="22">
        <f>G108+G109</f>
        <v>0</v>
      </c>
      <c r="H107" s="22">
        <f>H108+H109</f>
        <v>0</v>
      </c>
      <c r="I107" s="22">
        <f>I108+I109</f>
        <v>0</v>
      </c>
    </row>
    <row r="108" spans="1:9" s="4" customFormat="1" ht="37.9" customHeight="1" x14ac:dyDescent="0.2">
      <c r="A108" s="139" t="s">
        <v>110</v>
      </c>
      <c r="B108" s="140"/>
      <c r="C108" s="21">
        <v>2651</v>
      </c>
      <c r="D108" s="21">
        <v>406</v>
      </c>
      <c r="E108" s="21"/>
      <c r="F108" s="22"/>
      <c r="G108" s="22"/>
      <c r="H108" s="22"/>
      <c r="I108" s="22"/>
    </row>
    <row r="109" spans="1:9" s="4" customFormat="1" ht="30" customHeight="1" x14ac:dyDescent="0.2">
      <c r="A109" s="139" t="s">
        <v>111</v>
      </c>
      <c r="B109" s="140"/>
      <c r="C109" s="21">
        <v>2652</v>
      </c>
      <c r="D109" s="21">
        <v>407</v>
      </c>
      <c r="E109" s="21"/>
      <c r="F109" s="22"/>
      <c r="G109" s="22"/>
      <c r="H109" s="22"/>
      <c r="I109" s="22"/>
    </row>
    <row r="110" spans="1:9" s="4" customFormat="1" ht="15" customHeight="1" x14ac:dyDescent="0.2">
      <c r="A110" s="141" t="s">
        <v>112</v>
      </c>
      <c r="B110" s="141"/>
      <c r="C110" s="25">
        <v>3000</v>
      </c>
      <c r="D110" s="25">
        <v>100</v>
      </c>
      <c r="E110" s="21"/>
      <c r="F110" s="45">
        <f>SUM(F111:F113)</f>
        <v>0</v>
      </c>
      <c r="G110" s="45">
        <f>SUM(G111:G113)</f>
        <v>0</v>
      </c>
      <c r="H110" s="45">
        <f>SUM(H111:H113)</f>
        <v>0</v>
      </c>
      <c r="I110" s="26" t="s">
        <v>25</v>
      </c>
    </row>
    <row r="111" spans="1:9" s="4" customFormat="1" ht="26.25" customHeight="1" x14ac:dyDescent="0.2">
      <c r="A111" s="126" t="s">
        <v>113</v>
      </c>
      <c r="B111" s="126"/>
      <c r="C111" s="21">
        <v>3010</v>
      </c>
      <c r="D111" s="21"/>
      <c r="E111" s="25"/>
      <c r="F111" s="22"/>
      <c r="G111" s="22"/>
      <c r="H111" s="22"/>
      <c r="I111" s="22" t="s">
        <v>25</v>
      </c>
    </row>
    <row r="112" spans="1:9" s="4" customFormat="1" ht="15" customHeight="1" x14ac:dyDescent="0.2">
      <c r="A112" s="126" t="s">
        <v>114</v>
      </c>
      <c r="B112" s="126"/>
      <c r="C112" s="21">
        <v>3020</v>
      </c>
      <c r="D112" s="21"/>
      <c r="E112" s="21"/>
      <c r="F112" s="22"/>
      <c r="G112" s="22"/>
      <c r="H112" s="22"/>
      <c r="I112" s="22" t="s">
        <v>25</v>
      </c>
    </row>
    <row r="113" spans="1:11" s="4" customFormat="1" ht="15" customHeight="1" x14ac:dyDescent="0.2">
      <c r="A113" s="126" t="s">
        <v>115</v>
      </c>
      <c r="B113" s="126"/>
      <c r="C113" s="21">
        <v>3030</v>
      </c>
      <c r="D113" s="21"/>
      <c r="E113" s="21"/>
      <c r="F113" s="22"/>
      <c r="G113" s="22"/>
      <c r="H113" s="22"/>
      <c r="I113" s="22" t="s">
        <v>25</v>
      </c>
    </row>
    <row r="114" spans="1:11" s="4" customFormat="1" ht="15" customHeight="1" x14ac:dyDescent="0.2">
      <c r="A114" s="141" t="s">
        <v>116</v>
      </c>
      <c r="B114" s="141"/>
      <c r="C114" s="25">
        <v>4000</v>
      </c>
      <c r="D114" s="25" t="s">
        <v>25</v>
      </c>
      <c r="E114" s="21"/>
      <c r="F114" s="45">
        <f>F115</f>
        <v>325149.36</v>
      </c>
      <c r="G114" s="26">
        <f>G115</f>
        <v>0</v>
      </c>
      <c r="H114" s="26">
        <f>H115</f>
        <v>0</v>
      </c>
      <c r="I114" s="26" t="s">
        <v>25</v>
      </c>
    </row>
    <row r="115" spans="1:11" s="4" customFormat="1" ht="25.5" customHeight="1" x14ac:dyDescent="0.2">
      <c r="A115" s="126" t="s">
        <v>117</v>
      </c>
      <c r="B115" s="126"/>
      <c r="C115" s="21">
        <v>4010</v>
      </c>
      <c r="D115" s="21">
        <v>610</v>
      </c>
      <c r="E115" s="25"/>
      <c r="F115" s="22">
        <v>325149.36</v>
      </c>
      <c r="G115" s="22"/>
      <c r="H115" s="22"/>
      <c r="I115" s="22" t="s">
        <v>25</v>
      </c>
    </row>
    <row r="116" spans="1:11" s="4" customFormat="1" ht="9.6" customHeight="1" x14ac:dyDescent="0.2">
      <c r="A116" s="27"/>
      <c r="B116" s="28"/>
      <c r="C116" s="29"/>
      <c r="D116" s="29"/>
      <c r="E116" s="30"/>
      <c r="F116" s="31"/>
      <c r="G116" s="31"/>
      <c r="H116" s="31"/>
      <c r="I116" s="31"/>
    </row>
    <row r="117" spans="1:11" x14ac:dyDescent="0.25">
      <c r="A117" s="127" t="s">
        <v>118</v>
      </c>
      <c r="B117" s="127"/>
      <c r="C117" s="127"/>
      <c r="D117" s="127"/>
      <c r="E117" s="127"/>
      <c r="F117" s="127"/>
      <c r="G117" s="127"/>
      <c r="H117" s="127"/>
      <c r="I117" s="32"/>
    </row>
    <row r="118" spans="1:11" ht="7.9" customHeight="1" x14ac:dyDescent="0.25">
      <c r="A118" s="33"/>
      <c r="B118" s="32"/>
      <c r="C118" s="34"/>
      <c r="D118" s="34"/>
      <c r="E118" s="34"/>
      <c r="F118" s="34"/>
      <c r="G118" s="34"/>
      <c r="H118" s="34"/>
      <c r="I118" s="32"/>
    </row>
    <row r="119" spans="1:11" ht="15.6" customHeight="1" x14ac:dyDescent="0.25">
      <c r="A119" s="128" t="s">
        <v>119</v>
      </c>
      <c r="B119" s="128" t="s">
        <v>12</v>
      </c>
      <c r="C119" s="128" t="s">
        <v>120</v>
      </c>
      <c r="D119" s="128" t="s">
        <v>121</v>
      </c>
      <c r="E119" s="131" t="s">
        <v>14</v>
      </c>
      <c r="F119" s="134" t="s">
        <v>16</v>
      </c>
      <c r="G119" s="135"/>
      <c r="H119" s="135"/>
      <c r="I119" s="136"/>
    </row>
    <row r="120" spans="1:11" ht="19.899999999999999" customHeight="1" x14ac:dyDescent="0.25">
      <c r="A120" s="129"/>
      <c r="B120" s="129"/>
      <c r="C120" s="129"/>
      <c r="D120" s="129"/>
      <c r="E120" s="132"/>
      <c r="F120" s="11" t="s">
        <v>17</v>
      </c>
      <c r="G120" s="11" t="s">
        <v>18</v>
      </c>
      <c r="H120" s="11" t="s">
        <v>218</v>
      </c>
      <c r="I120" s="137" t="s">
        <v>19</v>
      </c>
    </row>
    <row r="121" spans="1:11" ht="36.6" customHeight="1" x14ac:dyDescent="0.25">
      <c r="A121" s="130"/>
      <c r="B121" s="130"/>
      <c r="C121" s="130"/>
      <c r="D121" s="130"/>
      <c r="E121" s="133"/>
      <c r="F121" s="11" t="s">
        <v>20</v>
      </c>
      <c r="G121" s="11" t="s">
        <v>21</v>
      </c>
      <c r="H121" s="11" t="s">
        <v>22</v>
      </c>
      <c r="I121" s="138"/>
    </row>
    <row r="122" spans="1:11" ht="14.45" customHeight="1" x14ac:dyDescent="0.25">
      <c r="A122" s="19">
        <v>1</v>
      </c>
      <c r="B122" s="11">
        <v>2</v>
      </c>
      <c r="C122" s="11">
        <v>3</v>
      </c>
      <c r="D122" s="11">
        <v>4</v>
      </c>
      <c r="E122" s="12" t="s">
        <v>122</v>
      </c>
      <c r="F122" s="11">
        <v>5</v>
      </c>
      <c r="G122" s="11">
        <v>6</v>
      </c>
      <c r="H122" s="11">
        <v>7</v>
      </c>
      <c r="I122" s="11">
        <v>8</v>
      </c>
    </row>
    <row r="123" spans="1:11" ht="21" customHeight="1" x14ac:dyDescent="0.25">
      <c r="A123" s="19">
        <v>1</v>
      </c>
      <c r="B123" s="35" t="s">
        <v>123</v>
      </c>
      <c r="C123" s="25">
        <v>26000</v>
      </c>
      <c r="D123" s="25" t="s">
        <v>25</v>
      </c>
      <c r="E123" s="10" t="s">
        <v>25</v>
      </c>
      <c r="F123" s="45">
        <f>F124+F125+F126+F130</f>
        <v>16643694.000000002</v>
      </c>
      <c r="G123" s="45">
        <f>G124+G125+G126+G130</f>
        <v>17269696.600000001</v>
      </c>
      <c r="H123" s="45">
        <f>H124+H125+H126+H130</f>
        <v>10073343.940000001</v>
      </c>
      <c r="I123" s="26">
        <f>I124+I125+I126+I130</f>
        <v>0</v>
      </c>
    </row>
    <row r="124" spans="1:11" ht="145.15" customHeight="1" x14ac:dyDescent="0.25">
      <c r="A124" s="36" t="s">
        <v>124</v>
      </c>
      <c r="B124" s="37" t="s">
        <v>125</v>
      </c>
      <c r="C124" s="38">
        <v>26100</v>
      </c>
      <c r="D124" s="21" t="s">
        <v>25</v>
      </c>
      <c r="E124" s="10" t="s">
        <v>25</v>
      </c>
      <c r="F124" s="22"/>
      <c r="G124" s="22"/>
      <c r="H124" s="22"/>
      <c r="I124" s="22"/>
    </row>
    <row r="125" spans="1:11" ht="40.9" customHeight="1" x14ac:dyDescent="0.25">
      <c r="A125" s="36" t="s">
        <v>126</v>
      </c>
      <c r="B125" s="37" t="s">
        <v>127</v>
      </c>
      <c r="C125" s="38">
        <v>26200</v>
      </c>
      <c r="D125" s="21" t="s">
        <v>25</v>
      </c>
      <c r="E125" s="10" t="s">
        <v>25</v>
      </c>
      <c r="F125" s="22"/>
      <c r="G125" s="22"/>
      <c r="H125" s="22"/>
      <c r="I125" s="22"/>
    </row>
    <row r="126" spans="1:11" ht="39" customHeight="1" x14ac:dyDescent="0.25">
      <c r="A126" s="36" t="s">
        <v>128</v>
      </c>
      <c r="B126" s="37" t="s">
        <v>129</v>
      </c>
      <c r="C126" s="38">
        <v>26300</v>
      </c>
      <c r="D126" s="21" t="s">
        <v>25</v>
      </c>
      <c r="E126" s="10" t="s">
        <v>25</v>
      </c>
      <c r="F126" s="22">
        <v>3629550.02</v>
      </c>
      <c r="G126" s="22">
        <v>0</v>
      </c>
      <c r="H126" s="22">
        <v>0</v>
      </c>
      <c r="I126" s="22"/>
    </row>
    <row r="127" spans="1:11" ht="14.45" customHeight="1" x14ac:dyDescent="0.25">
      <c r="A127" s="39" t="s">
        <v>130</v>
      </c>
      <c r="B127" s="37" t="s">
        <v>131</v>
      </c>
      <c r="C127" s="38">
        <v>26310</v>
      </c>
      <c r="D127" s="21" t="s">
        <v>25</v>
      </c>
      <c r="E127" s="40" t="s">
        <v>25</v>
      </c>
      <c r="F127" s="44">
        <f>F126</f>
        <v>3629550.02</v>
      </c>
      <c r="G127" s="22"/>
      <c r="H127" s="22"/>
      <c r="I127" s="22"/>
    </row>
    <row r="128" spans="1:11" x14ac:dyDescent="0.25">
      <c r="A128" s="39"/>
      <c r="B128" s="37" t="s">
        <v>191</v>
      </c>
      <c r="C128" s="38" t="s">
        <v>132</v>
      </c>
      <c r="D128" s="21" t="s">
        <v>25</v>
      </c>
      <c r="E128" s="10">
        <v>150</v>
      </c>
      <c r="F128" s="22">
        <v>480143.35999999999</v>
      </c>
      <c r="G128" s="22"/>
      <c r="H128" s="22"/>
      <c r="I128" s="22"/>
      <c r="J128" s="53"/>
      <c r="K128" s="53"/>
    </row>
    <row r="129" spans="1:12" ht="15.6" customHeight="1" x14ac:dyDescent="0.25">
      <c r="A129" s="39" t="s">
        <v>133</v>
      </c>
      <c r="B129" s="37" t="s">
        <v>134</v>
      </c>
      <c r="C129" s="38">
        <v>26320</v>
      </c>
      <c r="D129" s="21" t="s">
        <v>25</v>
      </c>
      <c r="E129" s="10" t="s">
        <v>25</v>
      </c>
      <c r="F129" s="22"/>
      <c r="G129" s="22"/>
      <c r="H129" s="22"/>
      <c r="I129" s="22"/>
    </row>
    <row r="130" spans="1:12" ht="39.6" customHeight="1" x14ac:dyDescent="0.25">
      <c r="A130" s="36" t="s">
        <v>135</v>
      </c>
      <c r="B130" s="37" t="s">
        <v>136</v>
      </c>
      <c r="C130" s="38">
        <v>26400</v>
      </c>
      <c r="D130" s="21" t="s">
        <v>25</v>
      </c>
      <c r="E130" s="10" t="s">
        <v>25</v>
      </c>
      <c r="F130" s="44">
        <f>F131+F134+F141+F143+F146</f>
        <v>13014143.980000002</v>
      </c>
      <c r="G130" s="44">
        <f>G131+G134+G141+G143+G146</f>
        <v>17269696.600000001</v>
      </c>
      <c r="H130" s="44">
        <f>H131+H134+H141+H143+H146</f>
        <v>10073343.940000001</v>
      </c>
      <c r="I130" s="22">
        <f>I131+I134+I141+I143+I146</f>
        <v>0</v>
      </c>
      <c r="J130" s="50"/>
      <c r="K130" s="6"/>
      <c r="L130" s="6"/>
    </row>
    <row r="131" spans="1:12" ht="38.450000000000003" customHeight="1" x14ac:dyDescent="0.25">
      <c r="A131" s="39" t="s">
        <v>137</v>
      </c>
      <c r="B131" s="37" t="s">
        <v>138</v>
      </c>
      <c r="C131" s="38">
        <v>26410</v>
      </c>
      <c r="D131" s="21" t="s">
        <v>25</v>
      </c>
      <c r="E131" s="10" t="s">
        <v>25</v>
      </c>
      <c r="F131" s="44">
        <f>F132+F133</f>
        <v>4176733.1500000013</v>
      </c>
      <c r="G131" s="44">
        <f>G132+G133</f>
        <v>5633318.4800000023</v>
      </c>
      <c r="H131" s="44">
        <f>H132+H133</f>
        <v>6159999.370000001</v>
      </c>
      <c r="I131" s="22">
        <f>I132+I133</f>
        <v>0</v>
      </c>
    </row>
    <row r="132" spans="1:12" ht="26.25" x14ac:dyDescent="0.25">
      <c r="A132" s="39" t="s">
        <v>139</v>
      </c>
      <c r="B132" s="37" t="s">
        <v>140</v>
      </c>
      <c r="C132" s="38">
        <v>26411</v>
      </c>
      <c r="D132" s="21" t="s">
        <v>25</v>
      </c>
      <c r="E132" s="10" t="s">
        <v>25</v>
      </c>
      <c r="F132" s="44">
        <f>F92-F126-F134-F146-F124</f>
        <v>4176733.1500000013</v>
      </c>
      <c r="G132" s="44">
        <f>G92-G126-G134-G146</f>
        <v>5633318.4800000023</v>
      </c>
      <c r="H132" s="44">
        <f>H92-H126-H134-H146</f>
        <v>6159999.370000001</v>
      </c>
      <c r="I132" s="22"/>
    </row>
    <row r="133" spans="1:12" ht="19.899999999999999" customHeight="1" x14ac:dyDescent="0.25">
      <c r="A133" s="39" t="s">
        <v>141</v>
      </c>
      <c r="B133" s="37" t="s">
        <v>142</v>
      </c>
      <c r="C133" s="21">
        <v>26412</v>
      </c>
      <c r="D133" s="21" t="s">
        <v>25</v>
      </c>
      <c r="E133" s="10" t="s">
        <v>25</v>
      </c>
      <c r="F133" s="22"/>
      <c r="G133" s="22"/>
      <c r="H133" s="22"/>
      <c r="I133" s="22"/>
    </row>
    <row r="134" spans="1:12" ht="28.9" customHeight="1" x14ac:dyDescent="0.25">
      <c r="A134" s="39" t="s">
        <v>143</v>
      </c>
      <c r="B134" s="37" t="s">
        <v>144</v>
      </c>
      <c r="C134" s="38">
        <v>26420</v>
      </c>
      <c r="D134" s="21" t="s">
        <v>25</v>
      </c>
      <c r="E134" s="10" t="s">
        <v>25</v>
      </c>
      <c r="F134" s="44">
        <f>F135+F140</f>
        <v>8395611.8599999994</v>
      </c>
      <c r="G134" s="44">
        <f>G135+G140</f>
        <v>11553712.639999999</v>
      </c>
      <c r="H134" s="44">
        <f>H135+H140</f>
        <v>3830679.09</v>
      </c>
      <c r="I134" s="22">
        <f>I135+I140</f>
        <v>0</v>
      </c>
    </row>
    <row r="135" spans="1:12" ht="26.45" customHeight="1" x14ac:dyDescent="0.25">
      <c r="A135" s="39" t="s">
        <v>145</v>
      </c>
      <c r="B135" s="37" t="s">
        <v>140</v>
      </c>
      <c r="C135" s="38">
        <v>26421</v>
      </c>
      <c r="D135" s="21" t="s">
        <v>25</v>
      </c>
      <c r="E135" s="10" t="s">
        <v>25</v>
      </c>
      <c r="F135" s="82">
        <f>F36-76804.92-23195.08-F53-F128-F41</f>
        <v>8395611.8599999994</v>
      </c>
      <c r="G135" s="44">
        <f>G36-76804.92-23195.08-G53</f>
        <v>11553712.639999999</v>
      </c>
      <c r="H135" s="44">
        <f>H36-76804.92-23195.08-H53</f>
        <v>3830679.09</v>
      </c>
      <c r="I135" s="22"/>
    </row>
    <row r="136" spans="1:12" ht="15.6" customHeight="1" x14ac:dyDescent="0.25">
      <c r="A136" s="39"/>
      <c r="B136" s="37" t="s">
        <v>146</v>
      </c>
      <c r="C136" s="38" t="s">
        <v>147</v>
      </c>
      <c r="D136" s="21" t="s">
        <v>25</v>
      </c>
      <c r="E136" s="10">
        <v>150</v>
      </c>
      <c r="F136" s="44">
        <f>F135-F137-F138-F139</f>
        <v>2393531.9999999991</v>
      </c>
      <c r="G136" s="44">
        <f>G135-G137-G138-G139</f>
        <v>2760762.8699999982</v>
      </c>
      <c r="H136" s="44">
        <f>H135-H137-H138-H139</f>
        <v>3566140</v>
      </c>
      <c r="I136" s="22"/>
      <c r="J136" s="51"/>
    </row>
    <row r="137" spans="1:12" ht="55.15" customHeight="1" x14ac:dyDescent="0.25">
      <c r="A137" s="39"/>
      <c r="B137" s="37" t="s">
        <v>198</v>
      </c>
      <c r="C137" s="38" t="s">
        <v>225</v>
      </c>
      <c r="D137" s="21" t="s">
        <v>25</v>
      </c>
      <c r="E137" s="10" t="s">
        <v>197</v>
      </c>
      <c r="F137" s="44">
        <f>F50-327343.06</f>
        <v>4690166.82</v>
      </c>
      <c r="G137" s="44">
        <v>6481945.7000000002</v>
      </c>
      <c r="H137" s="44">
        <f>H50</f>
        <v>0</v>
      </c>
      <c r="I137" s="22"/>
      <c r="J137" s="51"/>
    </row>
    <row r="138" spans="1:12" ht="59.45" customHeight="1" x14ac:dyDescent="0.25">
      <c r="A138" s="39"/>
      <c r="B138" s="37" t="s">
        <v>199</v>
      </c>
      <c r="C138" s="38" t="s">
        <v>226</v>
      </c>
      <c r="D138" s="21" t="s">
        <v>25</v>
      </c>
      <c r="E138" s="10" t="s">
        <v>197</v>
      </c>
      <c r="F138" s="44">
        <f>F51-103371.23</f>
        <v>1035171.8999999999</v>
      </c>
      <c r="G138" s="44">
        <v>2046995.37</v>
      </c>
      <c r="H138" s="44">
        <f>H51</f>
        <v>0</v>
      </c>
      <c r="I138" s="22"/>
    </row>
    <row r="139" spans="1:12" ht="53.45" customHeight="1" x14ac:dyDescent="0.25">
      <c r="A139" s="39"/>
      <c r="B139" s="37" t="s">
        <v>200</v>
      </c>
      <c r="C139" s="38" t="s">
        <v>194</v>
      </c>
      <c r="D139" s="21" t="s">
        <v>25</v>
      </c>
      <c r="E139" s="10" t="s">
        <v>197</v>
      </c>
      <c r="F139" s="44">
        <f>F52-13321.07</f>
        <v>276741.14</v>
      </c>
      <c r="G139" s="44">
        <v>264008.7</v>
      </c>
      <c r="H139" s="44">
        <f>H52</f>
        <v>264539.09000000003</v>
      </c>
      <c r="I139" s="22"/>
    </row>
    <row r="140" spans="1:12" ht="19.899999999999999" customHeight="1" x14ac:dyDescent="0.25">
      <c r="A140" s="39" t="s">
        <v>148</v>
      </c>
      <c r="B140" s="37" t="s">
        <v>142</v>
      </c>
      <c r="C140" s="38">
        <v>26422</v>
      </c>
      <c r="D140" s="21" t="s">
        <v>25</v>
      </c>
      <c r="E140" s="10" t="s">
        <v>25</v>
      </c>
      <c r="F140" s="22"/>
      <c r="G140" s="22"/>
      <c r="H140" s="22"/>
      <c r="I140" s="22"/>
    </row>
    <row r="141" spans="1:12" ht="18.600000000000001" customHeight="1" x14ac:dyDescent="0.25">
      <c r="A141" s="39" t="s">
        <v>149</v>
      </c>
      <c r="B141" s="37" t="s">
        <v>150</v>
      </c>
      <c r="C141" s="38">
        <v>26430</v>
      </c>
      <c r="D141" s="21" t="s">
        <v>25</v>
      </c>
      <c r="E141" s="10" t="s">
        <v>25</v>
      </c>
      <c r="F141" s="22"/>
      <c r="G141" s="22"/>
      <c r="H141" s="22"/>
      <c r="I141" s="22"/>
      <c r="L141" s="51"/>
    </row>
    <row r="142" spans="1:12" ht="16.899999999999999" customHeight="1" x14ac:dyDescent="0.25">
      <c r="A142" s="39"/>
      <c r="B142" s="37" t="s">
        <v>146</v>
      </c>
      <c r="C142" s="38" t="s">
        <v>151</v>
      </c>
      <c r="D142" s="21" t="s">
        <v>25</v>
      </c>
      <c r="E142" s="10"/>
      <c r="F142" s="22"/>
      <c r="G142" s="22"/>
      <c r="H142" s="22"/>
      <c r="I142" s="22"/>
    </row>
    <row r="143" spans="1:12" ht="19.149999999999999" customHeight="1" x14ac:dyDescent="0.25">
      <c r="A143" s="39" t="s">
        <v>152</v>
      </c>
      <c r="B143" s="37" t="s">
        <v>153</v>
      </c>
      <c r="C143" s="38">
        <v>26440</v>
      </c>
      <c r="D143" s="21" t="s">
        <v>25</v>
      </c>
      <c r="E143" s="10" t="s">
        <v>25</v>
      </c>
      <c r="F143" s="44">
        <f>F144+F145</f>
        <v>0</v>
      </c>
      <c r="G143" s="44">
        <f>G144+G145</f>
        <v>0</v>
      </c>
      <c r="H143" s="44">
        <f>H144+H145</f>
        <v>0</v>
      </c>
      <c r="I143" s="22">
        <f>I144+I145</f>
        <v>0</v>
      </c>
    </row>
    <row r="144" spans="1:12" ht="27.6" customHeight="1" x14ac:dyDescent="0.25">
      <c r="A144" s="39" t="s">
        <v>154</v>
      </c>
      <c r="B144" s="37" t="s">
        <v>140</v>
      </c>
      <c r="C144" s="38">
        <v>26441</v>
      </c>
      <c r="D144" s="21" t="s">
        <v>25</v>
      </c>
      <c r="E144" s="10" t="s">
        <v>25</v>
      </c>
      <c r="F144" s="22"/>
      <c r="G144" s="22"/>
      <c r="H144" s="22"/>
      <c r="I144" s="22"/>
    </row>
    <row r="145" spans="1:10" ht="19.149999999999999" customHeight="1" x14ac:dyDescent="0.25">
      <c r="A145" s="41" t="s">
        <v>155</v>
      </c>
      <c r="B145" s="37" t="s">
        <v>142</v>
      </c>
      <c r="C145" s="38">
        <v>26442</v>
      </c>
      <c r="D145" s="21" t="s">
        <v>25</v>
      </c>
      <c r="E145" s="10" t="s">
        <v>25</v>
      </c>
      <c r="F145" s="22"/>
      <c r="G145" s="22"/>
      <c r="H145" s="22"/>
      <c r="I145" s="22"/>
    </row>
    <row r="146" spans="1:10" ht="19.899999999999999" customHeight="1" x14ac:dyDescent="0.25">
      <c r="A146" s="41" t="s">
        <v>156</v>
      </c>
      <c r="B146" s="37" t="s">
        <v>157</v>
      </c>
      <c r="C146" s="38">
        <v>26450</v>
      </c>
      <c r="D146" s="21" t="s">
        <v>25</v>
      </c>
      <c r="E146" s="10" t="s">
        <v>25</v>
      </c>
      <c r="F146" s="94">
        <f>F147+F149</f>
        <v>441798.97</v>
      </c>
      <c r="G146" s="94">
        <f>G147+G149</f>
        <v>82665.48</v>
      </c>
      <c r="H146" s="94">
        <f>H147+H149</f>
        <v>82665.48</v>
      </c>
      <c r="I146" s="22">
        <f>I147+I149</f>
        <v>0</v>
      </c>
    </row>
    <row r="147" spans="1:10" ht="26.25" x14ac:dyDescent="0.25">
      <c r="A147" s="41" t="s">
        <v>158</v>
      </c>
      <c r="B147" s="37" t="s">
        <v>140</v>
      </c>
      <c r="C147" s="38">
        <v>26451</v>
      </c>
      <c r="D147" s="21" t="s">
        <v>25</v>
      </c>
      <c r="E147" s="10" t="s">
        <v>25</v>
      </c>
      <c r="F147" s="94">
        <v>441798.97</v>
      </c>
      <c r="G147" s="94">
        <f>20665.48+62000</f>
        <v>82665.48</v>
      </c>
      <c r="H147" s="94">
        <f>20665.48+62000</f>
        <v>82665.48</v>
      </c>
      <c r="I147" s="22"/>
    </row>
    <row r="148" spans="1:10" ht="19.149999999999999" customHeight="1" x14ac:dyDescent="0.25">
      <c r="A148" s="41"/>
      <c r="B148" s="37" t="s">
        <v>146</v>
      </c>
      <c r="C148" s="38" t="s">
        <v>159</v>
      </c>
      <c r="D148" s="21" t="s">
        <v>25</v>
      </c>
      <c r="E148" s="10">
        <v>150</v>
      </c>
      <c r="F148" s="49"/>
      <c r="G148" s="22"/>
      <c r="H148" s="22"/>
      <c r="I148" s="22"/>
      <c r="J148" s="53"/>
    </row>
    <row r="149" spans="1:10" ht="19.899999999999999" customHeight="1" x14ac:dyDescent="0.25">
      <c r="A149" s="41" t="s">
        <v>160</v>
      </c>
      <c r="B149" s="37" t="s">
        <v>142</v>
      </c>
      <c r="C149" s="38">
        <v>26452</v>
      </c>
      <c r="D149" s="21" t="s">
        <v>25</v>
      </c>
      <c r="E149" s="10" t="s">
        <v>25</v>
      </c>
      <c r="F149" s="22"/>
      <c r="G149" s="22"/>
      <c r="H149" s="22"/>
      <c r="I149" s="22"/>
    </row>
    <row r="150" spans="1:10" ht="42.6" customHeight="1" x14ac:dyDescent="0.25">
      <c r="A150" s="41" t="s">
        <v>161</v>
      </c>
      <c r="B150" s="37" t="s">
        <v>162</v>
      </c>
      <c r="C150" s="38">
        <v>26500</v>
      </c>
      <c r="D150" s="21" t="s">
        <v>25</v>
      </c>
      <c r="E150" s="10" t="s">
        <v>25</v>
      </c>
      <c r="F150" s="44">
        <f>F152+F153+F154</f>
        <v>13014143.980000002</v>
      </c>
      <c r="G150" s="44">
        <f>G152+G153+G154</f>
        <v>17269696.600000001</v>
      </c>
      <c r="H150" s="44">
        <f>H152+H153+H154</f>
        <v>10073343.940000001</v>
      </c>
      <c r="I150" s="22">
        <f>I151+I155</f>
        <v>0</v>
      </c>
    </row>
    <row r="151" spans="1:10" ht="15.6" customHeight="1" x14ac:dyDescent="0.25">
      <c r="A151" s="41"/>
      <c r="B151" s="37" t="s">
        <v>163</v>
      </c>
      <c r="C151" s="38">
        <v>26510</v>
      </c>
      <c r="D151" s="21"/>
      <c r="E151" s="10" t="s">
        <v>25</v>
      </c>
      <c r="F151" s="44"/>
      <c r="G151" s="44"/>
      <c r="H151" s="44"/>
      <c r="I151" s="22"/>
    </row>
    <row r="152" spans="1:10" ht="18.600000000000001" customHeight="1" x14ac:dyDescent="0.25">
      <c r="A152" s="41" t="s">
        <v>204</v>
      </c>
      <c r="B152" s="37"/>
      <c r="C152" s="38"/>
      <c r="D152" s="21">
        <v>2022</v>
      </c>
      <c r="E152" s="10"/>
      <c r="F152" s="44">
        <f>F130</f>
        <v>13014143.980000002</v>
      </c>
      <c r="G152" s="44"/>
      <c r="H152" s="44"/>
      <c r="I152" s="22"/>
    </row>
    <row r="153" spans="1:10" ht="19.899999999999999" customHeight="1" x14ac:dyDescent="0.25">
      <c r="A153" s="41" t="s">
        <v>205</v>
      </c>
      <c r="B153" s="37"/>
      <c r="C153" s="38"/>
      <c r="D153" s="21">
        <v>2023</v>
      </c>
      <c r="E153" s="10"/>
      <c r="F153" s="44"/>
      <c r="G153" s="44">
        <f>G130-G152-G154</f>
        <v>17269696.600000001</v>
      </c>
      <c r="H153" s="44"/>
      <c r="I153" s="22"/>
    </row>
    <row r="154" spans="1:10" ht="18" customHeight="1" x14ac:dyDescent="0.25">
      <c r="A154" s="41" t="s">
        <v>206</v>
      </c>
      <c r="B154" s="37"/>
      <c r="C154" s="38"/>
      <c r="D154" s="21">
        <v>2024</v>
      </c>
      <c r="E154" s="10"/>
      <c r="F154" s="44"/>
      <c r="G154" s="44"/>
      <c r="H154" s="44">
        <f>H130-H153-H152</f>
        <v>10073343.940000001</v>
      </c>
      <c r="I154" s="22"/>
    </row>
    <row r="155" spans="1:10" ht="16.899999999999999" customHeight="1" x14ac:dyDescent="0.25">
      <c r="A155" s="41"/>
      <c r="B155" s="37"/>
      <c r="C155" s="38"/>
      <c r="D155" s="21"/>
      <c r="E155" s="10" t="s">
        <v>25</v>
      </c>
      <c r="F155" s="22"/>
      <c r="G155" s="22"/>
      <c r="H155" s="22"/>
      <c r="I155" s="22"/>
    </row>
    <row r="156" spans="1:10" ht="39" x14ac:dyDescent="0.25">
      <c r="A156" s="41" t="s">
        <v>164</v>
      </c>
      <c r="B156" s="37" t="s">
        <v>165</v>
      </c>
      <c r="C156" s="38">
        <v>26600</v>
      </c>
      <c r="D156" s="21" t="s">
        <v>25</v>
      </c>
      <c r="E156" s="10" t="s">
        <v>25</v>
      </c>
      <c r="F156" s="44">
        <f>F157+F158</f>
        <v>0</v>
      </c>
      <c r="G156" s="44">
        <f>G157+G158</f>
        <v>0</v>
      </c>
      <c r="H156" s="44">
        <f>H157+H158</f>
        <v>0</v>
      </c>
      <c r="I156" s="22">
        <f>I157+I158</f>
        <v>0</v>
      </c>
    </row>
    <row r="157" spans="1:10" x14ac:dyDescent="0.25">
      <c r="A157" s="41"/>
      <c r="B157" s="37" t="s">
        <v>163</v>
      </c>
      <c r="C157" s="38">
        <v>26610</v>
      </c>
      <c r="D157" s="21"/>
      <c r="E157" s="10" t="s">
        <v>25</v>
      </c>
      <c r="F157" s="22"/>
      <c r="G157" s="22"/>
      <c r="H157" s="22"/>
      <c r="I157" s="22"/>
    </row>
    <row r="158" spans="1:10" x14ac:dyDescent="0.25">
      <c r="A158" s="41"/>
      <c r="B158" s="37"/>
      <c r="C158" s="21"/>
      <c r="D158" s="21"/>
      <c r="E158" s="10" t="s">
        <v>25</v>
      </c>
      <c r="F158" s="22"/>
      <c r="G158" s="22"/>
      <c r="H158" s="22"/>
      <c r="I158" s="22"/>
    </row>
    <row r="159" spans="1:10" ht="6.75" customHeight="1" x14ac:dyDescent="0.25">
      <c r="A159" s="33"/>
      <c r="B159" s="32"/>
      <c r="C159" s="34"/>
      <c r="D159" s="34"/>
      <c r="E159" s="34"/>
      <c r="F159" s="34"/>
      <c r="G159" s="34"/>
      <c r="H159" s="34"/>
      <c r="I159" s="32"/>
    </row>
    <row r="160" spans="1:10" x14ac:dyDescent="0.25">
      <c r="A160" s="63"/>
      <c r="B160" s="5"/>
      <c r="C160" s="64"/>
      <c r="D160" s="64"/>
      <c r="E160" s="64"/>
      <c r="F160" s="64"/>
      <c r="G160" s="64"/>
      <c r="H160" s="64"/>
      <c r="I160" s="5"/>
    </row>
    <row r="161" spans="1:10" x14ac:dyDescent="0.25">
      <c r="A161" s="65" t="s">
        <v>227</v>
      </c>
      <c r="D161" s="66"/>
      <c r="E161" s="55"/>
      <c r="F161" s="124" t="s">
        <v>208</v>
      </c>
      <c r="G161" s="124"/>
    </row>
    <row r="162" spans="1:10" x14ac:dyDescent="0.25">
      <c r="B162" s="1"/>
      <c r="C162" s="1"/>
      <c r="D162" s="67" t="s">
        <v>166</v>
      </c>
      <c r="F162" s="125" t="s">
        <v>167</v>
      </c>
      <c r="G162" s="125"/>
    </row>
    <row r="163" spans="1:10" x14ac:dyDescent="0.25">
      <c r="B163" s="1"/>
      <c r="C163" s="1"/>
      <c r="D163" s="1"/>
      <c r="E163" s="1"/>
      <c r="F163" s="1"/>
      <c r="G163" s="68"/>
    </row>
    <row r="164" spans="1:10" x14ac:dyDescent="0.25">
      <c r="A164" s="65"/>
      <c r="D164" s="66"/>
      <c r="E164" s="55"/>
      <c r="F164" s="124" t="s">
        <v>168</v>
      </c>
      <c r="G164" s="124"/>
    </row>
    <row r="165" spans="1:10" ht="13.5" customHeight="1" x14ac:dyDescent="0.25">
      <c r="A165" s="1" t="s">
        <v>169</v>
      </c>
      <c r="B165" s="1"/>
      <c r="C165" s="1"/>
      <c r="D165" s="67" t="s">
        <v>166</v>
      </c>
      <c r="F165" s="125" t="s">
        <v>167</v>
      </c>
      <c r="G165" s="125"/>
    </row>
    <row r="166" spans="1:10" hidden="1" x14ac:dyDescent="0.25">
      <c r="A166" s="65"/>
    </row>
    <row r="167" spans="1:10" ht="1.5" hidden="1" customHeight="1" x14ac:dyDescent="0.3">
      <c r="A167" s="65"/>
      <c r="H167" s="69"/>
      <c r="I167" s="69"/>
      <c r="J167"/>
    </row>
    <row r="168" spans="1:10" ht="17.25" customHeight="1" x14ac:dyDescent="0.3">
      <c r="A168" s="70"/>
      <c r="B168" s="69"/>
      <c r="C168" s="69"/>
      <c r="H168" s="69"/>
      <c r="I168" s="69"/>
      <c r="J168"/>
    </row>
    <row r="169" spans="1:10" ht="18.75" hidden="1" x14ac:dyDescent="0.3">
      <c r="A169" s="70"/>
      <c r="B169" s="69"/>
      <c r="C169" s="69"/>
      <c r="D169" s="69"/>
      <c r="E169" s="69"/>
      <c r="F169" s="71"/>
      <c r="H169" s="69"/>
      <c r="I169" s="69"/>
      <c r="J169"/>
    </row>
    <row r="170" spans="1:10" ht="45.75" customHeight="1" x14ac:dyDescent="0.3">
      <c r="A170" s="72" t="s">
        <v>232</v>
      </c>
      <c r="B170" s="72"/>
      <c r="C170" s="72"/>
      <c r="D170" s="72"/>
      <c r="E170" s="69"/>
      <c r="F170" s="71"/>
      <c r="H170" s="69"/>
      <c r="I170" s="69"/>
      <c r="J170"/>
    </row>
    <row r="171" spans="1:10" ht="15.75" customHeight="1" x14ac:dyDescent="0.3">
      <c r="A171" s="110" t="s">
        <v>170</v>
      </c>
      <c r="B171" s="110"/>
      <c r="C171" s="110"/>
      <c r="D171" s="110"/>
      <c r="E171" s="73"/>
      <c r="H171" s="69"/>
      <c r="I171" s="69"/>
      <c r="J171"/>
    </row>
    <row r="172" spans="1:10" x14ac:dyDescent="0.25">
      <c r="A172" s="110"/>
      <c r="B172" s="110"/>
      <c r="C172" s="110"/>
      <c r="D172" s="110"/>
      <c r="E172" s="110"/>
      <c r="H172" s="5"/>
      <c r="I172" s="5"/>
    </row>
    <row r="173" spans="1:10" x14ac:dyDescent="0.25">
      <c r="C173" s="5"/>
      <c r="D173" s="5"/>
      <c r="E173" s="5"/>
      <c r="H173" s="5"/>
      <c r="I173" s="5"/>
    </row>
    <row r="174" spans="1:10" x14ac:dyDescent="0.25">
      <c r="A174" s="2"/>
      <c r="H174" s="5"/>
      <c r="I174" s="5"/>
    </row>
    <row r="175" spans="1:10" x14ac:dyDescent="0.25">
      <c r="H175" s="5"/>
      <c r="I175" s="5"/>
    </row>
    <row r="176" spans="1:10" x14ac:dyDescent="0.25">
      <c r="C176" s="5"/>
      <c r="D176" s="5"/>
      <c r="E176" s="5"/>
      <c r="F176" s="5"/>
      <c r="G176" s="5"/>
      <c r="H176" s="5"/>
      <c r="I176" s="5"/>
    </row>
    <row r="177" spans="3:9" x14ac:dyDescent="0.25">
      <c r="C177" s="5"/>
      <c r="D177" s="5"/>
      <c r="E177" s="5"/>
      <c r="F177" s="5"/>
      <c r="G177" s="5"/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E187" s="5"/>
    </row>
  </sheetData>
  <mergeCells count="118">
    <mergeCell ref="H1:I1"/>
    <mergeCell ref="F2:I2"/>
    <mergeCell ref="F3:I4"/>
    <mergeCell ref="A9:I9"/>
    <mergeCell ref="A10:I10"/>
    <mergeCell ref="B13:H13"/>
    <mergeCell ref="A25:B25"/>
    <mergeCell ref="A26:B26"/>
    <mergeCell ref="A27:B27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A35:B35"/>
    <mergeCell ref="A36:B36"/>
    <mergeCell ref="A47:B47"/>
    <mergeCell ref="A48:B48"/>
    <mergeCell ref="A49:B49"/>
    <mergeCell ref="A50:B50"/>
    <mergeCell ref="A51:B51"/>
    <mergeCell ref="A52:B52"/>
    <mergeCell ref="A42:B42"/>
    <mergeCell ref="A43:B43"/>
    <mergeCell ref="A44:B44"/>
    <mergeCell ref="A45:B45"/>
    <mergeCell ref="A46:B46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I120:I121"/>
    <mergeCell ref="F161:G161"/>
    <mergeCell ref="F162:G162"/>
    <mergeCell ref="F164:G164"/>
    <mergeCell ref="F165:G165"/>
    <mergeCell ref="A113:B113"/>
    <mergeCell ref="A114:B114"/>
    <mergeCell ref="A115:B115"/>
    <mergeCell ref="A117:H117"/>
    <mergeCell ref="A119:A121"/>
    <mergeCell ref="B119:B121"/>
    <mergeCell ref="C119:C121"/>
    <mergeCell ref="D119:D121"/>
    <mergeCell ref="E119:E121"/>
    <mergeCell ref="F119:I119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89"/>
  <sheetViews>
    <sheetView zoomScale="85" zoomScaleNormal="85" zoomScaleSheetLayoutView="70" workbookViewId="0">
      <selection activeCell="J27" sqref="J27"/>
    </sheetView>
  </sheetViews>
  <sheetFormatPr defaultColWidth="9.140625" defaultRowHeight="15.75" x14ac:dyDescent="0.25"/>
  <cols>
    <col min="1" max="1" width="8.7109375" style="1" customWidth="1"/>
    <col min="2" max="2" width="62.28515625" style="2" customWidth="1"/>
    <col min="3" max="3" width="8.140625" style="2" customWidth="1"/>
    <col min="4" max="4" width="12.140625" style="2" customWidth="1"/>
    <col min="5" max="5" width="14.28515625" style="2" customWidth="1"/>
    <col min="6" max="8" width="14" style="2" customWidth="1"/>
    <col min="9" max="9" width="14.5703125" style="2" customWidth="1"/>
    <col min="10" max="10" width="17" style="2" customWidth="1"/>
    <col min="11" max="11" width="17.7109375" style="2" customWidth="1"/>
    <col min="12" max="12" width="15.5703125" style="2" customWidth="1"/>
    <col min="13" max="16384" width="9.140625" style="2"/>
  </cols>
  <sheetData>
    <row r="1" spans="1:9" ht="15" customHeight="1" x14ac:dyDescent="0.25">
      <c r="A1" s="7"/>
      <c r="B1" s="8"/>
      <c r="C1" s="8"/>
      <c r="D1" s="8"/>
      <c r="E1" s="8"/>
      <c r="F1" s="8"/>
      <c r="G1" s="8"/>
      <c r="H1" s="162" t="s">
        <v>259</v>
      </c>
      <c r="I1" s="162"/>
    </row>
    <row r="2" spans="1:9" ht="15" customHeight="1" x14ac:dyDescent="0.25">
      <c r="A2" s="7"/>
      <c r="B2" s="8"/>
      <c r="C2" s="8"/>
      <c r="D2" s="8"/>
      <c r="E2" s="8"/>
      <c r="F2" s="163"/>
      <c r="G2" s="163"/>
      <c r="H2" s="163"/>
      <c r="I2" s="163"/>
    </row>
    <row r="3" spans="1:9" ht="15" customHeight="1" x14ac:dyDescent="0.25">
      <c r="A3" s="7"/>
      <c r="B3" s="8"/>
      <c r="C3" s="8"/>
      <c r="D3" s="8"/>
      <c r="E3" s="8"/>
      <c r="F3" s="164" t="s">
        <v>1</v>
      </c>
      <c r="G3" s="164"/>
      <c r="H3" s="164"/>
      <c r="I3" s="164"/>
    </row>
    <row r="4" spans="1:9" ht="17.45" customHeight="1" x14ac:dyDescent="0.25">
      <c r="A4" s="7"/>
      <c r="B4" s="8"/>
      <c r="C4" s="8"/>
      <c r="D4" s="8"/>
      <c r="E4" s="8"/>
      <c r="F4" s="164"/>
      <c r="G4" s="164"/>
      <c r="H4" s="164"/>
      <c r="I4" s="164"/>
    </row>
    <row r="5" spans="1:9" ht="15" customHeight="1" x14ac:dyDescent="0.25">
      <c r="A5" s="7"/>
      <c r="B5" s="8"/>
      <c r="C5" s="8"/>
      <c r="D5" s="8"/>
      <c r="E5" s="8"/>
      <c r="F5" s="8"/>
      <c r="G5" s="8"/>
      <c r="H5" s="8"/>
      <c r="I5" s="3" t="s">
        <v>264</v>
      </c>
    </row>
    <row r="6" spans="1:9" ht="15" customHeight="1" x14ac:dyDescent="0.25">
      <c r="A6" s="7"/>
      <c r="B6" s="8"/>
      <c r="C6" s="8"/>
      <c r="D6" s="8"/>
      <c r="E6" s="8"/>
      <c r="F6" s="8"/>
      <c r="G6" s="8"/>
      <c r="H6" s="8"/>
      <c r="I6" s="3" t="s">
        <v>265</v>
      </c>
    </row>
    <row r="7" spans="1:9" ht="9.6" customHeight="1" x14ac:dyDescent="0.25">
      <c r="A7" s="7"/>
      <c r="B7" s="8"/>
      <c r="C7" s="8"/>
      <c r="D7" s="8"/>
      <c r="E7" s="8"/>
      <c r="F7" s="8"/>
      <c r="G7" s="8"/>
      <c r="H7" s="8"/>
      <c r="I7" s="3"/>
    </row>
    <row r="8" spans="1:9" ht="10.9" customHeight="1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ht="15" customHeight="1" x14ac:dyDescent="0.25">
      <c r="A9" s="127" t="s">
        <v>224</v>
      </c>
      <c r="B9" s="127"/>
      <c r="C9" s="127"/>
      <c r="D9" s="127"/>
      <c r="E9" s="127"/>
      <c r="F9" s="127"/>
      <c r="G9" s="127"/>
      <c r="H9" s="127"/>
      <c r="I9" s="127"/>
    </row>
    <row r="10" spans="1:9" ht="28.9" customHeight="1" x14ac:dyDescent="0.25">
      <c r="A10" s="127" t="s">
        <v>219</v>
      </c>
      <c r="B10" s="127"/>
      <c r="C10" s="127"/>
      <c r="D10" s="127"/>
      <c r="E10" s="127"/>
      <c r="F10" s="127"/>
      <c r="G10" s="127"/>
      <c r="H10" s="127"/>
      <c r="I10" s="127"/>
    </row>
    <row r="11" spans="1:9" ht="10.15" customHeight="1" x14ac:dyDescent="0.25">
      <c r="A11" s="7"/>
      <c r="B11" s="8"/>
      <c r="C11" s="8"/>
      <c r="D11" s="8"/>
      <c r="E11" s="8"/>
      <c r="F11" s="8"/>
      <c r="G11" s="8"/>
      <c r="H11" s="8"/>
      <c r="I11" s="9"/>
    </row>
    <row r="12" spans="1:9" ht="8.4499999999999993" customHeight="1" x14ac:dyDescent="0.25">
      <c r="I12" s="55"/>
    </row>
    <row r="13" spans="1:9" ht="15" customHeight="1" x14ac:dyDescent="0.25">
      <c r="B13" s="165" t="s">
        <v>266</v>
      </c>
      <c r="C13" s="165"/>
      <c r="D13" s="165"/>
      <c r="E13" s="165"/>
      <c r="F13" s="165"/>
      <c r="G13" s="165"/>
      <c r="H13" s="165"/>
      <c r="I13" s="56" t="s">
        <v>3</v>
      </c>
    </row>
    <row r="14" spans="1:9" ht="15" customHeight="1" x14ac:dyDescent="0.25">
      <c r="H14" s="57" t="s">
        <v>4</v>
      </c>
      <c r="I14" s="56" t="s">
        <v>267</v>
      </c>
    </row>
    <row r="15" spans="1:9" ht="15" customHeight="1" x14ac:dyDescent="0.25">
      <c r="A15" s="159" t="s">
        <v>5</v>
      </c>
      <c r="B15" s="159"/>
      <c r="C15" s="159"/>
      <c r="D15" s="159"/>
      <c r="E15" s="159"/>
      <c r="F15" s="159"/>
      <c r="H15" s="57" t="s">
        <v>6</v>
      </c>
      <c r="I15" s="56"/>
    </row>
    <row r="16" spans="1:9" ht="15" customHeight="1" x14ac:dyDescent="0.25">
      <c r="A16" s="159"/>
      <c r="B16" s="159"/>
      <c r="C16" s="159"/>
      <c r="D16" s="159"/>
      <c r="E16" s="159"/>
      <c r="F16" s="159"/>
      <c r="G16" s="58"/>
      <c r="H16" s="59" t="s">
        <v>7</v>
      </c>
      <c r="I16" s="60">
        <v>925</v>
      </c>
    </row>
    <row r="17" spans="1:9" ht="19.899999999999999" customHeight="1" x14ac:dyDescent="0.25">
      <c r="H17" s="57" t="s">
        <v>6</v>
      </c>
      <c r="I17" s="56"/>
    </row>
    <row r="18" spans="1:9" ht="24.75" customHeight="1" x14ac:dyDescent="0.25">
      <c r="A18" s="159" t="s">
        <v>207</v>
      </c>
      <c r="B18" s="159"/>
      <c r="C18" s="159"/>
      <c r="D18" s="159"/>
      <c r="E18" s="159"/>
      <c r="F18" s="159"/>
      <c r="G18" s="58"/>
      <c r="H18" s="57" t="s">
        <v>8</v>
      </c>
      <c r="I18" s="61">
        <v>2329009762</v>
      </c>
    </row>
    <row r="19" spans="1:9" ht="23.45" customHeight="1" x14ac:dyDescent="0.25">
      <c r="A19" s="159"/>
      <c r="B19" s="159"/>
      <c r="C19" s="159"/>
      <c r="D19" s="159"/>
      <c r="E19" s="159"/>
      <c r="F19" s="159"/>
      <c r="H19" s="57" t="s">
        <v>9</v>
      </c>
      <c r="I19" s="61">
        <v>232901001</v>
      </c>
    </row>
    <row r="20" spans="1:9" ht="15" customHeight="1" x14ac:dyDescent="0.25">
      <c r="A20" s="160" t="s">
        <v>10</v>
      </c>
      <c r="B20" s="160"/>
      <c r="H20" s="57" t="s">
        <v>11</v>
      </c>
      <c r="I20" s="61">
        <v>383</v>
      </c>
    </row>
    <row r="21" spans="1:9" ht="10.9" customHeight="1" x14ac:dyDescent="0.25">
      <c r="H21" s="57"/>
      <c r="I21" s="62"/>
    </row>
    <row r="22" spans="1:9" s="4" customFormat="1" ht="17.45" customHeight="1" x14ac:dyDescent="0.2">
      <c r="A22" s="149" t="s">
        <v>12</v>
      </c>
      <c r="B22" s="149"/>
      <c r="C22" s="137" t="s">
        <v>13</v>
      </c>
      <c r="D22" s="137" t="s">
        <v>14</v>
      </c>
      <c r="E22" s="137" t="s">
        <v>15</v>
      </c>
      <c r="F22" s="134" t="s">
        <v>16</v>
      </c>
      <c r="G22" s="135"/>
      <c r="H22" s="135"/>
      <c r="I22" s="136"/>
    </row>
    <row r="23" spans="1:9" s="4" customFormat="1" ht="15" customHeight="1" x14ac:dyDescent="0.2">
      <c r="A23" s="149"/>
      <c r="B23" s="149"/>
      <c r="C23" s="161"/>
      <c r="D23" s="161"/>
      <c r="E23" s="161"/>
      <c r="F23" s="11" t="s">
        <v>17</v>
      </c>
      <c r="G23" s="11" t="s">
        <v>18</v>
      </c>
      <c r="H23" s="11" t="s">
        <v>218</v>
      </c>
      <c r="I23" s="137" t="s">
        <v>19</v>
      </c>
    </row>
    <row r="24" spans="1:9" s="4" customFormat="1" ht="37.5" customHeight="1" x14ac:dyDescent="0.2">
      <c r="A24" s="149"/>
      <c r="B24" s="149"/>
      <c r="C24" s="138"/>
      <c r="D24" s="138"/>
      <c r="E24" s="138"/>
      <c r="F24" s="11" t="s">
        <v>20</v>
      </c>
      <c r="G24" s="11" t="s">
        <v>21</v>
      </c>
      <c r="H24" s="11" t="s">
        <v>22</v>
      </c>
      <c r="I24" s="138"/>
    </row>
    <row r="25" spans="1:9" s="4" customFormat="1" ht="12.75" customHeight="1" x14ac:dyDescent="0.2">
      <c r="A25" s="149">
        <v>1</v>
      </c>
      <c r="B25" s="149"/>
      <c r="C25" s="107">
        <v>2</v>
      </c>
      <c r="D25" s="107">
        <v>3</v>
      </c>
      <c r="E25" s="107">
        <v>4</v>
      </c>
      <c r="F25" s="11">
        <v>5</v>
      </c>
      <c r="G25" s="11">
        <v>6</v>
      </c>
      <c r="H25" s="11">
        <v>7</v>
      </c>
      <c r="I25" s="107">
        <v>8</v>
      </c>
    </row>
    <row r="26" spans="1:9" s="4" customFormat="1" ht="15" customHeight="1" x14ac:dyDescent="0.2">
      <c r="A26" s="149" t="s">
        <v>23</v>
      </c>
      <c r="B26" s="149"/>
      <c r="C26" s="12" t="s">
        <v>24</v>
      </c>
      <c r="D26" s="12" t="s">
        <v>25</v>
      </c>
      <c r="E26" s="11" t="s">
        <v>25</v>
      </c>
      <c r="F26" s="13">
        <f>378548.25+72228.32+21310+112204.45</f>
        <v>584291.02</v>
      </c>
      <c r="G26" s="13">
        <v>0</v>
      </c>
      <c r="H26" s="13">
        <v>0</v>
      </c>
      <c r="I26" s="13">
        <v>0</v>
      </c>
    </row>
    <row r="27" spans="1:9" s="4" customFormat="1" ht="15" customHeight="1" x14ac:dyDescent="0.2">
      <c r="A27" s="149" t="s">
        <v>26</v>
      </c>
      <c r="B27" s="149"/>
      <c r="C27" s="12" t="s">
        <v>27</v>
      </c>
      <c r="D27" s="12" t="s">
        <v>25</v>
      </c>
      <c r="E27" s="11" t="s">
        <v>25</v>
      </c>
      <c r="F27" s="43">
        <f>F26+F28-F63+F112-F116+0.03+145456.18+23+116905.4+3490+59274.75+109407.94</f>
        <v>434557.30000000028</v>
      </c>
      <c r="G27" s="43">
        <f>G26+G28-G63-G116</f>
        <v>-7.4505805969238281E-9</v>
      </c>
      <c r="H27" s="43">
        <f>H26+H28-H63-H116</f>
        <v>-7.4505805969238281E-9</v>
      </c>
      <c r="I27" s="43">
        <v>0</v>
      </c>
    </row>
    <row r="28" spans="1:9" s="4" customFormat="1" ht="15" customHeight="1" x14ac:dyDescent="0.2">
      <c r="A28" s="146" t="s">
        <v>28</v>
      </c>
      <c r="B28" s="146"/>
      <c r="C28" s="14" t="s">
        <v>29</v>
      </c>
      <c r="D28" s="15"/>
      <c r="E28" s="16">
        <v>100</v>
      </c>
      <c r="F28" s="42">
        <f>F29+F30+F34+F35+F58+F60+F61</f>
        <v>55658909.730000004</v>
      </c>
      <c r="G28" s="42">
        <f>G29+G30+G34+G35+G58+G60+G61</f>
        <v>58498779.229999989</v>
      </c>
      <c r="H28" s="42">
        <f>H29+H30+H34+H35+H58+H60+H61</f>
        <v>58200158.54999999</v>
      </c>
      <c r="I28" s="42">
        <f>I29+I30+I34+I35+I58+I60+I61</f>
        <v>0</v>
      </c>
    </row>
    <row r="29" spans="1:9" s="4" customFormat="1" ht="30" customHeight="1" x14ac:dyDescent="0.2">
      <c r="A29" s="149" t="s">
        <v>30</v>
      </c>
      <c r="B29" s="149"/>
      <c r="C29" s="18" t="s">
        <v>31</v>
      </c>
      <c r="D29" s="12" t="s">
        <v>32</v>
      </c>
      <c r="E29" s="11"/>
      <c r="F29" s="13">
        <v>10957</v>
      </c>
      <c r="G29" s="13">
        <f>8333.2+2332.28</f>
        <v>10665.480000000001</v>
      </c>
      <c r="H29" s="13">
        <f>8333.2+2332.28</f>
        <v>10665.480000000001</v>
      </c>
      <c r="I29" s="13"/>
    </row>
    <row r="30" spans="1:9" s="76" customFormat="1" ht="18" customHeight="1" x14ac:dyDescent="0.2">
      <c r="A30" s="146" t="s">
        <v>33</v>
      </c>
      <c r="B30" s="146"/>
      <c r="C30" s="15" t="s">
        <v>34</v>
      </c>
      <c r="D30" s="15" t="s">
        <v>35</v>
      </c>
      <c r="E30" s="16"/>
      <c r="F30" s="42">
        <f>F31+F33+F59</f>
        <v>43569637.850000001</v>
      </c>
      <c r="G30" s="42">
        <f>G31+G33+G59+G60</f>
        <v>42257280.909999996</v>
      </c>
      <c r="H30" s="42">
        <f>H31+H33+H59+H60</f>
        <v>42234767.389999993</v>
      </c>
      <c r="I30" s="42">
        <f>SUM(I31:I33)</f>
        <v>0</v>
      </c>
    </row>
    <row r="31" spans="1:9" s="4" customFormat="1" ht="54" customHeight="1" x14ac:dyDescent="0.2">
      <c r="A31" s="158" t="s">
        <v>36</v>
      </c>
      <c r="B31" s="158"/>
      <c r="C31" s="12" t="s">
        <v>37</v>
      </c>
      <c r="D31" s="12" t="s">
        <v>35</v>
      </c>
      <c r="E31" s="11"/>
      <c r="F31" s="52">
        <v>43279065.340000004</v>
      </c>
      <c r="G31" s="52">
        <f>42353595.91-106100-170215</f>
        <v>42077280.909999996</v>
      </c>
      <c r="H31" s="52">
        <f>42353595.91-128613.52-170215</f>
        <v>42054767.389999993</v>
      </c>
      <c r="I31" s="13"/>
    </row>
    <row r="32" spans="1:9" s="4" customFormat="1" ht="31.15" customHeight="1" x14ac:dyDescent="0.2">
      <c r="A32" s="149" t="s">
        <v>38</v>
      </c>
      <c r="B32" s="149"/>
      <c r="C32" s="12" t="s">
        <v>39</v>
      </c>
      <c r="D32" s="12" t="s">
        <v>35</v>
      </c>
      <c r="E32" s="11"/>
      <c r="F32" s="13"/>
      <c r="G32" s="13"/>
      <c r="H32" s="13"/>
      <c r="I32" s="13"/>
    </row>
    <row r="33" spans="1:9" s="4" customFormat="1" ht="40.9" customHeight="1" x14ac:dyDescent="0.2">
      <c r="A33" s="149" t="s">
        <v>40</v>
      </c>
      <c r="B33" s="149"/>
      <c r="C33" s="12" t="s">
        <v>41</v>
      </c>
      <c r="D33" s="12" t="s">
        <v>35</v>
      </c>
      <c r="E33" s="11"/>
      <c r="F33" s="13">
        <v>290572.51</v>
      </c>
      <c r="G33" s="13">
        <v>180000</v>
      </c>
      <c r="H33" s="13">
        <v>180000</v>
      </c>
      <c r="I33" s="13"/>
    </row>
    <row r="34" spans="1:9" s="4" customFormat="1" ht="15" customHeight="1" x14ac:dyDescent="0.2">
      <c r="A34" s="149" t="s">
        <v>42</v>
      </c>
      <c r="B34" s="149"/>
      <c r="C34" s="12" t="s">
        <v>43</v>
      </c>
      <c r="D34" s="12" t="s">
        <v>44</v>
      </c>
      <c r="E34" s="11"/>
      <c r="F34" s="13"/>
      <c r="G34" s="13"/>
      <c r="H34" s="13"/>
      <c r="I34" s="13"/>
    </row>
    <row r="35" spans="1:9" s="78" customFormat="1" ht="19.149999999999999" customHeight="1" x14ac:dyDescent="0.2">
      <c r="A35" s="146" t="s">
        <v>45</v>
      </c>
      <c r="B35" s="146"/>
      <c r="C35" s="15" t="s">
        <v>46</v>
      </c>
      <c r="D35" s="15" t="s">
        <v>47</v>
      </c>
      <c r="E35" s="16"/>
      <c r="F35" s="42">
        <f>F36+F56+F57</f>
        <v>12078314.879999999</v>
      </c>
      <c r="G35" s="42">
        <f>G36</f>
        <v>16230832.84</v>
      </c>
      <c r="H35" s="42">
        <f>H36</f>
        <v>15954725.679999998</v>
      </c>
      <c r="I35" s="17"/>
    </row>
    <row r="36" spans="1:9" s="46" customFormat="1" ht="27.75" customHeight="1" x14ac:dyDescent="0.2">
      <c r="A36" s="149" t="s">
        <v>48</v>
      </c>
      <c r="B36" s="149"/>
      <c r="C36" s="12" t="s">
        <v>49</v>
      </c>
      <c r="D36" s="12" t="s">
        <v>47</v>
      </c>
      <c r="E36" s="11"/>
      <c r="F36" s="43">
        <f>SUM(F38:F55)</f>
        <v>12078314.879999999</v>
      </c>
      <c r="G36" s="43">
        <f>SUM(G38:G58)</f>
        <v>16230832.84</v>
      </c>
      <c r="H36" s="43">
        <f>SUM(H38:H55)</f>
        <v>15954725.679999998</v>
      </c>
      <c r="I36" s="13"/>
    </row>
    <row r="37" spans="1:9" s="46" customFormat="1" ht="15" customHeight="1" x14ac:dyDescent="0.2">
      <c r="A37" s="150" t="s">
        <v>50</v>
      </c>
      <c r="B37" s="151"/>
      <c r="C37" s="12"/>
      <c r="D37" s="12"/>
      <c r="E37" s="11"/>
      <c r="F37" s="13"/>
      <c r="G37" s="13"/>
      <c r="H37" s="13"/>
      <c r="I37" s="13"/>
    </row>
    <row r="38" spans="1:9" s="46" customFormat="1" ht="30" customHeight="1" x14ac:dyDescent="0.2">
      <c r="A38" s="149" t="s">
        <v>236</v>
      </c>
      <c r="B38" s="149"/>
      <c r="C38" s="19"/>
      <c r="D38" s="12"/>
      <c r="E38" s="11"/>
      <c r="F38" s="98">
        <f>150000+100134+200000</f>
        <v>450134</v>
      </c>
      <c r="G38" s="20"/>
      <c r="H38" s="20"/>
      <c r="I38" s="13"/>
    </row>
    <row r="39" spans="1:9" s="46" customFormat="1" ht="49.5" customHeight="1" x14ac:dyDescent="0.2">
      <c r="A39" s="149" t="s">
        <v>249</v>
      </c>
      <c r="B39" s="149"/>
      <c r="C39" s="19"/>
      <c r="D39" s="12"/>
      <c r="E39" s="11"/>
      <c r="F39" s="98">
        <v>38000</v>
      </c>
      <c r="G39" s="20">
        <v>50000</v>
      </c>
      <c r="H39" s="20">
        <v>50000</v>
      </c>
      <c r="I39" s="13"/>
    </row>
    <row r="40" spans="1:9" s="46" customFormat="1" ht="29.45" customHeight="1" x14ac:dyDescent="0.2">
      <c r="A40" s="150" t="s">
        <v>248</v>
      </c>
      <c r="B40" s="151"/>
      <c r="C40" s="19"/>
      <c r="D40" s="12"/>
      <c r="E40" s="11"/>
      <c r="F40" s="98">
        <f>148173.29+41285.7</f>
        <v>189458.99</v>
      </c>
      <c r="G40" s="20"/>
      <c r="H40" s="20"/>
      <c r="I40" s="13"/>
    </row>
    <row r="41" spans="1:9" s="46" customFormat="1" ht="16.899999999999999" customHeight="1" x14ac:dyDescent="0.2">
      <c r="A41" s="149" t="s">
        <v>171</v>
      </c>
      <c r="B41" s="149"/>
      <c r="C41" s="19"/>
      <c r="D41" s="12"/>
      <c r="E41" s="11"/>
      <c r="F41" s="98">
        <f>1498868.94-311954.3</f>
        <v>1186914.6399999999</v>
      </c>
      <c r="G41" s="20">
        <v>1500000</v>
      </c>
      <c r="H41" s="20">
        <v>1500000</v>
      </c>
      <c r="I41" s="13"/>
    </row>
    <row r="42" spans="1:9" s="46" customFormat="1" ht="54.75" customHeight="1" x14ac:dyDescent="0.2">
      <c r="A42" s="149" t="s">
        <v>250</v>
      </c>
      <c r="B42" s="149"/>
      <c r="C42" s="12"/>
      <c r="D42" s="12"/>
      <c r="E42" s="11"/>
      <c r="F42" s="99">
        <v>296735.08</v>
      </c>
      <c r="G42" s="84"/>
      <c r="H42" s="84"/>
      <c r="I42" s="13"/>
    </row>
    <row r="43" spans="1:9" s="46" customFormat="1" ht="33" customHeight="1" x14ac:dyDescent="0.2">
      <c r="A43" s="150" t="s">
        <v>237</v>
      </c>
      <c r="B43" s="151"/>
      <c r="C43" s="12"/>
      <c r="D43" s="12"/>
      <c r="E43" s="11"/>
      <c r="F43" s="99">
        <f>20500+181100</f>
        <v>201600</v>
      </c>
      <c r="G43" s="84"/>
      <c r="H43" s="84"/>
      <c r="I43" s="13"/>
    </row>
    <row r="44" spans="1:9" s="46" customFormat="1" ht="54.75" customHeight="1" x14ac:dyDescent="0.2">
      <c r="A44" s="150" t="s">
        <v>238</v>
      </c>
      <c r="B44" s="151"/>
      <c r="C44" s="12"/>
      <c r="D44" s="12"/>
      <c r="E44" s="11"/>
      <c r="F44" s="99">
        <v>170000</v>
      </c>
      <c r="G44" s="84"/>
      <c r="H44" s="84"/>
      <c r="I44" s="13"/>
    </row>
    <row r="45" spans="1:9" s="46" customFormat="1" ht="29.45" customHeight="1" x14ac:dyDescent="0.2">
      <c r="A45" s="149" t="s">
        <v>175</v>
      </c>
      <c r="B45" s="149"/>
      <c r="C45" s="12"/>
      <c r="D45" s="12"/>
      <c r="E45" s="11"/>
      <c r="F45" s="99">
        <v>70350</v>
      </c>
      <c r="G45" s="84">
        <v>45350</v>
      </c>
      <c r="H45" s="84">
        <v>45350</v>
      </c>
      <c r="I45" s="13"/>
    </row>
    <row r="46" spans="1:9" s="46" customFormat="1" ht="43.15" customHeight="1" x14ac:dyDescent="0.2">
      <c r="A46" s="149" t="s">
        <v>176</v>
      </c>
      <c r="B46" s="149"/>
      <c r="C46" s="12"/>
      <c r="D46" s="12"/>
      <c r="E46" s="11"/>
      <c r="F46" s="99">
        <v>0</v>
      </c>
      <c r="G46" s="84">
        <v>25100</v>
      </c>
      <c r="H46" s="84">
        <v>22330.32</v>
      </c>
      <c r="I46" s="13"/>
    </row>
    <row r="47" spans="1:9" s="46" customFormat="1" ht="84" customHeight="1" x14ac:dyDescent="0.2">
      <c r="A47" s="147" t="s">
        <v>177</v>
      </c>
      <c r="B47" s="148"/>
      <c r="C47" s="12"/>
      <c r="D47" s="12"/>
      <c r="E47" s="11"/>
      <c r="F47" s="99">
        <v>0</v>
      </c>
      <c r="G47" s="84">
        <v>11600</v>
      </c>
      <c r="H47" s="84">
        <v>8036</v>
      </c>
      <c r="I47" s="13"/>
    </row>
    <row r="48" spans="1:9" s="46" customFormat="1" ht="58.5" customHeight="1" x14ac:dyDescent="0.2">
      <c r="A48" s="147" t="s">
        <v>244</v>
      </c>
      <c r="B48" s="148"/>
      <c r="C48" s="12"/>
      <c r="D48" s="12"/>
      <c r="E48" s="11"/>
      <c r="F48" s="99">
        <f>124690-15444.9-480.1</f>
        <v>108765</v>
      </c>
      <c r="G48" s="84"/>
      <c r="H48" s="84"/>
      <c r="I48" s="13"/>
    </row>
    <row r="49" spans="1:10" s="46" customFormat="1" ht="60.75" customHeight="1" x14ac:dyDescent="0.2">
      <c r="A49" s="149" t="s">
        <v>178</v>
      </c>
      <c r="B49" s="149"/>
      <c r="C49" s="12"/>
      <c r="D49" s="12"/>
      <c r="E49" s="11"/>
      <c r="F49" s="99">
        <f>236850-41619</f>
        <v>195231</v>
      </c>
      <c r="G49" s="84">
        <v>236850</v>
      </c>
      <c r="H49" s="84">
        <v>236850</v>
      </c>
      <c r="I49" s="13"/>
    </row>
    <row r="50" spans="1:10" s="46" customFormat="1" ht="45" customHeight="1" x14ac:dyDescent="0.2">
      <c r="A50" s="149" t="s">
        <v>192</v>
      </c>
      <c r="B50" s="149"/>
      <c r="C50" s="12"/>
      <c r="D50" s="47"/>
      <c r="E50" s="11"/>
      <c r="F50" s="99">
        <f>1313664.72-197109.92</f>
        <v>1116554.8</v>
      </c>
      <c r="G50" s="84">
        <v>1957200</v>
      </c>
      <c r="H50" s="84">
        <v>1957200</v>
      </c>
      <c r="I50" s="13"/>
    </row>
    <row r="51" spans="1:10" s="46" customFormat="1" ht="45" customHeight="1" x14ac:dyDescent="0.2">
      <c r="A51" s="150" t="s">
        <v>231</v>
      </c>
      <c r="B51" s="151"/>
      <c r="C51" s="12"/>
      <c r="D51" s="47"/>
      <c r="E51" s="11"/>
      <c r="F51" s="99">
        <f>44100+25000+8000+208800</f>
        <v>285900</v>
      </c>
      <c r="G51" s="84"/>
      <c r="H51" s="84"/>
      <c r="I51" s="13"/>
    </row>
    <row r="52" spans="1:10" s="46" customFormat="1" ht="55.9" customHeight="1" x14ac:dyDescent="0.2">
      <c r="A52" s="152" t="s">
        <v>201</v>
      </c>
      <c r="B52" s="153"/>
      <c r="C52" s="79"/>
      <c r="D52" s="80"/>
      <c r="E52" s="81"/>
      <c r="F52" s="100">
        <v>3096070.53</v>
      </c>
      <c r="G52" s="84">
        <v>6686413.75</v>
      </c>
      <c r="H52" s="84">
        <v>6482395.7000000002</v>
      </c>
      <c r="I52" s="13"/>
      <c r="J52" s="97"/>
    </row>
    <row r="53" spans="1:10" s="46" customFormat="1" ht="54.6" customHeight="1" x14ac:dyDescent="0.2">
      <c r="A53" s="152" t="s">
        <v>202</v>
      </c>
      <c r="B53" s="153"/>
      <c r="C53" s="79"/>
      <c r="D53" s="80"/>
      <c r="E53" s="81"/>
      <c r="F53" s="100">
        <v>977698.63</v>
      </c>
      <c r="G53" s="84">
        <v>1860220</v>
      </c>
      <c r="H53" s="84">
        <v>1802579.38</v>
      </c>
      <c r="I53" s="13"/>
    </row>
    <row r="54" spans="1:10" s="46" customFormat="1" ht="55.9" customHeight="1" x14ac:dyDescent="0.2">
      <c r="A54" s="152" t="s">
        <v>203</v>
      </c>
      <c r="B54" s="153"/>
      <c r="C54" s="79"/>
      <c r="D54" s="80"/>
      <c r="E54" s="81"/>
      <c r="F54" s="100">
        <f>183962.21-4500</f>
        <v>179462.21</v>
      </c>
      <c r="G54" s="84">
        <v>264539.09000000003</v>
      </c>
      <c r="H54" s="84">
        <v>256424.28</v>
      </c>
      <c r="I54" s="13"/>
      <c r="J54" s="97"/>
    </row>
    <row r="55" spans="1:10" s="46" customFormat="1" ht="82.9" customHeight="1" x14ac:dyDescent="0.2">
      <c r="A55" s="154" t="s">
        <v>223</v>
      </c>
      <c r="B55" s="155"/>
      <c r="C55" s="79"/>
      <c r="D55" s="80"/>
      <c r="E55" s="81"/>
      <c r="F55" s="100">
        <f>3593560-78120</f>
        <v>3515440</v>
      </c>
      <c r="G55" s="84">
        <v>3593560</v>
      </c>
      <c r="H55" s="84">
        <v>3593560</v>
      </c>
      <c r="I55" s="13"/>
    </row>
    <row r="56" spans="1:10" s="46" customFormat="1" ht="15" customHeight="1" x14ac:dyDescent="0.2">
      <c r="A56" s="149" t="s">
        <v>180</v>
      </c>
      <c r="B56" s="149"/>
      <c r="C56" s="12" t="s">
        <v>51</v>
      </c>
      <c r="D56" s="12" t="s">
        <v>47</v>
      </c>
      <c r="E56" s="11"/>
      <c r="F56" s="13"/>
      <c r="G56" s="13"/>
      <c r="H56" s="13"/>
      <c r="I56" s="13"/>
    </row>
    <row r="57" spans="1:10" s="46" customFormat="1" ht="26.25" customHeight="1" x14ac:dyDescent="0.2">
      <c r="A57" s="147" t="s">
        <v>179</v>
      </c>
      <c r="B57" s="148"/>
      <c r="C57" s="12" t="s">
        <v>52</v>
      </c>
      <c r="D57" s="12" t="s">
        <v>47</v>
      </c>
      <c r="E57" s="11"/>
      <c r="F57" s="13">
        <v>0</v>
      </c>
      <c r="G57" s="13"/>
      <c r="H57" s="13"/>
      <c r="I57" s="13"/>
    </row>
    <row r="58" spans="1:10" s="46" customFormat="1" ht="15" customHeight="1" x14ac:dyDescent="0.2">
      <c r="A58" s="149" t="s">
        <v>53</v>
      </c>
      <c r="B58" s="149"/>
      <c r="C58" s="12" t="s">
        <v>54</v>
      </c>
      <c r="D58" s="12" t="s">
        <v>55</v>
      </c>
      <c r="E58" s="11"/>
      <c r="F58" s="13"/>
      <c r="G58" s="13"/>
      <c r="H58" s="13"/>
      <c r="I58" s="13"/>
    </row>
    <row r="59" spans="1:10" s="4" customFormat="1" ht="15" customHeight="1" x14ac:dyDescent="0.2">
      <c r="A59" s="149" t="s">
        <v>56</v>
      </c>
      <c r="B59" s="149"/>
      <c r="C59" s="12" t="s">
        <v>57</v>
      </c>
      <c r="D59" s="12" t="s">
        <v>55</v>
      </c>
      <c r="E59" s="11"/>
      <c r="F59" s="13"/>
      <c r="G59" s="13"/>
      <c r="H59" s="13"/>
      <c r="I59" s="13"/>
    </row>
    <row r="60" spans="1:10" s="4" customFormat="1" ht="15" customHeight="1" x14ac:dyDescent="0.2">
      <c r="A60" s="149" t="s">
        <v>58</v>
      </c>
      <c r="B60" s="149"/>
      <c r="C60" s="12" t="s">
        <v>59</v>
      </c>
      <c r="D60" s="12" t="s">
        <v>60</v>
      </c>
      <c r="E60" s="11"/>
      <c r="F60" s="13"/>
      <c r="G60" s="13"/>
      <c r="H60" s="13"/>
      <c r="I60" s="13"/>
    </row>
    <row r="61" spans="1:10" s="4" customFormat="1" ht="15" customHeight="1" x14ac:dyDescent="0.2">
      <c r="A61" s="149" t="s">
        <v>61</v>
      </c>
      <c r="B61" s="149"/>
      <c r="C61" s="12" t="s">
        <v>62</v>
      </c>
      <c r="D61" s="12" t="s">
        <v>25</v>
      </c>
      <c r="E61" s="11"/>
      <c r="F61" s="13"/>
      <c r="G61" s="13"/>
      <c r="H61" s="13"/>
      <c r="I61" s="13"/>
    </row>
    <row r="62" spans="1:10" s="4" customFormat="1" ht="38.450000000000003" customHeight="1" x14ac:dyDescent="0.2">
      <c r="A62" s="149" t="s">
        <v>63</v>
      </c>
      <c r="B62" s="149"/>
      <c r="C62" s="12" t="s">
        <v>64</v>
      </c>
      <c r="D62" s="12" t="s">
        <v>65</v>
      </c>
      <c r="E62" s="11"/>
      <c r="F62" s="13"/>
      <c r="G62" s="13"/>
      <c r="H62" s="13"/>
      <c r="I62" s="13" t="s">
        <v>25</v>
      </c>
    </row>
    <row r="63" spans="1:10" s="4" customFormat="1" ht="15" customHeight="1" x14ac:dyDescent="0.2">
      <c r="A63" s="146" t="s">
        <v>66</v>
      </c>
      <c r="B63" s="146"/>
      <c r="C63" s="15" t="s">
        <v>67</v>
      </c>
      <c r="D63" s="15" t="s">
        <v>25</v>
      </c>
      <c r="E63" s="16">
        <v>200</v>
      </c>
      <c r="F63" s="42">
        <f>F64+F74+F81+F85+F92+F94</f>
        <v>55771114.180000007</v>
      </c>
      <c r="G63" s="42">
        <f>G64+G74+G81+G85+G92+G94</f>
        <v>58498779.229999997</v>
      </c>
      <c r="H63" s="42">
        <f>H64+H74+H81+H85+H92+H94</f>
        <v>58200158.549999997</v>
      </c>
      <c r="I63" s="17"/>
    </row>
    <row r="64" spans="1:10" s="4" customFormat="1" ht="27" customHeight="1" x14ac:dyDescent="0.2">
      <c r="A64" s="126" t="s">
        <v>68</v>
      </c>
      <c r="B64" s="126"/>
      <c r="C64" s="21">
        <v>2100</v>
      </c>
      <c r="D64" s="15" t="s">
        <v>25</v>
      </c>
      <c r="E64" s="21"/>
      <c r="F64" s="44">
        <f>F65+F66+F67+F68+F69+F70+F72</f>
        <v>39367434.590000004</v>
      </c>
      <c r="G64" s="44">
        <f>G65+G66+G67+G68+G69+G70+G72</f>
        <v>39194949.539999999</v>
      </c>
      <c r="H64" s="44">
        <f>H65+H66+H67+H68+H69+H70+H72</f>
        <v>39194949.539999999</v>
      </c>
      <c r="I64" s="22" t="s">
        <v>25</v>
      </c>
    </row>
    <row r="65" spans="1:11" s="4" customFormat="1" ht="25.5" customHeight="1" x14ac:dyDescent="0.2">
      <c r="A65" s="126" t="s">
        <v>69</v>
      </c>
      <c r="B65" s="126"/>
      <c r="C65" s="21">
        <v>2110</v>
      </c>
      <c r="D65" s="21">
        <v>111</v>
      </c>
      <c r="E65" s="21"/>
      <c r="F65" s="22">
        <f>30248545.75</f>
        <v>30248545.75</v>
      </c>
      <c r="G65" s="22">
        <f>82949.31+27221908.24+90000+76804.92+2760030.72-130733.49</f>
        <v>30100959.699999999</v>
      </c>
      <c r="H65" s="22">
        <f>82949.31+27221908.24+90000+76804.92+2760030.72-130733.49</f>
        <v>30100959.699999999</v>
      </c>
      <c r="I65" s="22" t="s">
        <v>25</v>
      </c>
      <c r="K65" s="90"/>
    </row>
    <row r="66" spans="1:11" s="4" customFormat="1" ht="15" customHeight="1" x14ac:dyDescent="0.2">
      <c r="A66" s="126" t="s">
        <v>70</v>
      </c>
      <c r="B66" s="126"/>
      <c r="C66" s="21">
        <v>2120</v>
      </c>
      <c r="D66" s="21">
        <v>112</v>
      </c>
      <c r="E66" s="21"/>
      <c r="F66" s="22">
        <v>2550</v>
      </c>
      <c r="G66" s="22">
        <v>3500</v>
      </c>
      <c r="H66" s="22">
        <v>3500</v>
      </c>
      <c r="I66" s="22" t="s">
        <v>25</v>
      </c>
      <c r="K66" s="90"/>
    </row>
    <row r="67" spans="1:11" s="4" customFormat="1" ht="28.5" customHeight="1" x14ac:dyDescent="0.2">
      <c r="A67" s="126" t="s">
        <v>71</v>
      </c>
      <c r="B67" s="126"/>
      <c r="C67" s="21">
        <v>2130</v>
      </c>
      <c r="D67" s="21">
        <v>113</v>
      </c>
      <c r="E67" s="21"/>
      <c r="F67" s="22"/>
      <c r="G67" s="22"/>
      <c r="H67" s="22"/>
      <c r="I67" s="22" t="s">
        <v>25</v>
      </c>
      <c r="K67" s="90"/>
    </row>
    <row r="68" spans="1:11" s="4" customFormat="1" ht="28.9" customHeight="1" x14ac:dyDescent="0.2">
      <c r="A68" s="126" t="s">
        <v>72</v>
      </c>
      <c r="B68" s="126"/>
      <c r="C68" s="21">
        <v>2140</v>
      </c>
      <c r="D68" s="21">
        <v>119</v>
      </c>
      <c r="E68" s="21"/>
      <c r="F68" s="22">
        <v>9116338.8399999999</v>
      </c>
      <c r="G68" s="22">
        <f>25050.69+8248196.3+23195.08+833529.28-39481.51</f>
        <v>9090489.8399999999</v>
      </c>
      <c r="H68" s="22">
        <f>25050.69+8248196.3+23195.08+833529.28-39481.51</f>
        <v>9090489.8399999999</v>
      </c>
      <c r="I68" s="22" t="s">
        <v>25</v>
      </c>
    </row>
    <row r="69" spans="1:11" s="4" customFormat="1" ht="16.899999999999999" customHeight="1" x14ac:dyDescent="0.2">
      <c r="A69" s="126" t="s">
        <v>73</v>
      </c>
      <c r="B69" s="126"/>
      <c r="C69" s="21">
        <v>2150</v>
      </c>
      <c r="D69" s="21">
        <v>131</v>
      </c>
      <c r="E69" s="21"/>
      <c r="F69" s="22"/>
      <c r="G69" s="22"/>
      <c r="H69" s="22"/>
      <c r="I69" s="22" t="s">
        <v>25</v>
      </c>
    </row>
    <row r="70" spans="1:11" s="4" customFormat="1" ht="27" customHeight="1" x14ac:dyDescent="0.2">
      <c r="A70" s="126" t="s">
        <v>74</v>
      </c>
      <c r="B70" s="126"/>
      <c r="C70" s="21">
        <v>2160</v>
      </c>
      <c r="D70" s="21">
        <v>133</v>
      </c>
      <c r="E70" s="21"/>
      <c r="F70" s="22"/>
      <c r="G70" s="22"/>
      <c r="H70" s="22"/>
      <c r="I70" s="22" t="s">
        <v>25</v>
      </c>
    </row>
    <row r="71" spans="1:11" s="4" customFormat="1" ht="15.75" customHeight="1" x14ac:dyDescent="0.2">
      <c r="A71" s="126" t="s">
        <v>75</v>
      </c>
      <c r="B71" s="126"/>
      <c r="C71" s="21">
        <v>2170</v>
      </c>
      <c r="D71" s="21">
        <v>134</v>
      </c>
      <c r="E71" s="21"/>
      <c r="F71" s="22"/>
      <c r="G71" s="22"/>
      <c r="H71" s="22"/>
      <c r="I71" s="22"/>
    </row>
    <row r="72" spans="1:11" s="4" customFormat="1" ht="30.75" customHeight="1" x14ac:dyDescent="0.2">
      <c r="A72" s="126" t="s">
        <v>76</v>
      </c>
      <c r="B72" s="126"/>
      <c r="C72" s="21">
        <v>2180</v>
      </c>
      <c r="D72" s="21">
        <v>139</v>
      </c>
      <c r="E72" s="21"/>
      <c r="F72" s="44">
        <f>F73</f>
        <v>0</v>
      </c>
      <c r="G72" s="44">
        <f>G73</f>
        <v>0</v>
      </c>
      <c r="H72" s="44">
        <f>H73</f>
        <v>0</v>
      </c>
      <c r="I72" s="22" t="s">
        <v>25</v>
      </c>
    </row>
    <row r="73" spans="1:11" s="4" customFormat="1" ht="25.5" customHeight="1" x14ac:dyDescent="0.2">
      <c r="A73" s="126" t="s">
        <v>77</v>
      </c>
      <c r="B73" s="126"/>
      <c r="C73" s="21">
        <v>2181</v>
      </c>
      <c r="D73" s="21">
        <v>139</v>
      </c>
      <c r="E73" s="21"/>
      <c r="F73" s="22"/>
      <c r="G73" s="22"/>
      <c r="H73" s="22"/>
      <c r="I73" s="22" t="s">
        <v>25</v>
      </c>
    </row>
    <row r="74" spans="1:11" s="76" customFormat="1" ht="15" customHeight="1" x14ac:dyDescent="0.2">
      <c r="A74" s="141" t="s">
        <v>78</v>
      </c>
      <c r="B74" s="141"/>
      <c r="C74" s="25">
        <v>2200</v>
      </c>
      <c r="D74" s="25">
        <v>300</v>
      </c>
      <c r="E74" s="25"/>
      <c r="F74" s="45">
        <f>F75+F78+F79+F80</f>
        <v>0</v>
      </c>
      <c r="G74" s="45">
        <f>G75+G78+G79+G80</f>
        <v>0</v>
      </c>
      <c r="H74" s="45">
        <f>H75+H78+H79+H80</f>
        <v>0</v>
      </c>
      <c r="I74" s="26" t="s">
        <v>25</v>
      </c>
    </row>
    <row r="75" spans="1:11" s="4" customFormat="1" ht="24.6" customHeight="1" x14ac:dyDescent="0.2">
      <c r="A75" s="126" t="s">
        <v>79</v>
      </c>
      <c r="B75" s="126"/>
      <c r="C75" s="21">
        <v>2210</v>
      </c>
      <c r="D75" s="21">
        <v>320</v>
      </c>
      <c r="E75" s="21"/>
      <c r="F75" s="44">
        <f>SUM(F76:F77)</f>
        <v>0</v>
      </c>
      <c r="G75" s="44">
        <f>SUM(G76:G76)</f>
        <v>0</v>
      </c>
      <c r="H75" s="44">
        <f>SUM(H76:H76)</f>
        <v>0</v>
      </c>
      <c r="I75" s="22" t="s">
        <v>25</v>
      </c>
    </row>
    <row r="76" spans="1:11" s="4" customFormat="1" ht="36.6" customHeight="1" x14ac:dyDescent="0.2">
      <c r="A76" s="126" t="s">
        <v>80</v>
      </c>
      <c r="B76" s="126"/>
      <c r="C76" s="21">
        <v>2211</v>
      </c>
      <c r="D76" s="21">
        <v>321</v>
      </c>
      <c r="E76" s="21"/>
      <c r="F76" s="22"/>
      <c r="G76" s="22"/>
      <c r="H76" s="22"/>
      <c r="I76" s="22" t="s">
        <v>25</v>
      </c>
    </row>
    <row r="77" spans="1:11" s="4" customFormat="1" ht="15.6" customHeight="1" x14ac:dyDescent="0.2">
      <c r="A77" s="139" t="s">
        <v>181</v>
      </c>
      <c r="B77" s="140"/>
      <c r="C77" s="21">
        <v>2212</v>
      </c>
      <c r="D77" s="21">
        <v>321</v>
      </c>
      <c r="E77" s="21"/>
      <c r="F77" s="22"/>
      <c r="G77" s="22"/>
      <c r="H77" s="22"/>
      <c r="I77" s="22" t="s">
        <v>25</v>
      </c>
    </row>
    <row r="78" spans="1:11" s="4" customFormat="1" ht="25.9" customHeight="1" x14ac:dyDescent="0.2">
      <c r="A78" s="126" t="s">
        <v>81</v>
      </c>
      <c r="B78" s="126"/>
      <c r="C78" s="21">
        <v>2220</v>
      </c>
      <c r="D78" s="21">
        <v>340</v>
      </c>
      <c r="E78" s="21"/>
      <c r="F78" s="22"/>
      <c r="G78" s="22"/>
      <c r="H78" s="22"/>
      <c r="I78" s="22" t="s">
        <v>25</v>
      </c>
    </row>
    <row r="79" spans="1:11" s="4" customFormat="1" ht="39" customHeight="1" x14ac:dyDescent="0.2">
      <c r="A79" s="126" t="s">
        <v>82</v>
      </c>
      <c r="B79" s="126"/>
      <c r="C79" s="21">
        <v>2230</v>
      </c>
      <c r="D79" s="21">
        <v>350</v>
      </c>
      <c r="E79" s="21"/>
      <c r="F79" s="22"/>
      <c r="G79" s="22"/>
      <c r="H79" s="22"/>
      <c r="I79" s="22" t="s">
        <v>25</v>
      </c>
    </row>
    <row r="80" spans="1:11" s="4" customFormat="1" ht="16.149999999999999" customHeight="1" x14ac:dyDescent="0.2">
      <c r="A80" s="126" t="s">
        <v>83</v>
      </c>
      <c r="B80" s="126"/>
      <c r="C80" s="21">
        <v>2240</v>
      </c>
      <c r="D80" s="21">
        <v>360</v>
      </c>
      <c r="E80" s="21"/>
      <c r="F80" s="22"/>
      <c r="G80" s="22"/>
      <c r="H80" s="22"/>
      <c r="I80" s="22" t="s">
        <v>25</v>
      </c>
    </row>
    <row r="81" spans="1:9" s="76" customFormat="1" ht="15" customHeight="1" x14ac:dyDescent="0.2">
      <c r="A81" s="141" t="s">
        <v>84</v>
      </c>
      <c r="B81" s="141"/>
      <c r="C81" s="25">
        <v>2300</v>
      </c>
      <c r="D81" s="25">
        <v>850</v>
      </c>
      <c r="E81" s="25"/>
      <c r="F81" s="45">
        <f>SUM(F82:F84)</f>
        <v>100709.97</v>
      </c>
      <c r="G81" s="45">
        <f>SUM(G82:G84)</f>
        <v>100225</v>
      </c>
      <c r="H81" s="45">
        <f>SUM(H82:H84)</f>
        <v>100225</v>
      </c>
      <c r="I81" s="26" t="s">
        <v>25</v>
      </c>
    </row>
    <row r="82" spans="1:9" s="4" customFormat="1" ht="24" customHeight="1" x14ac:dyDescent="0.2">
      <c r="A82" s="126" t="s">
        <v>85</v>
      </c>
      <c r="B82" s="126"/>
      <c r="C82" s="21">
        <v>2310</v>
      </c>
      <c r="D82" s="21">
        <v>851</v>
      </c>
      <c r="E82" s="21"/>
      <c r="F82" s="22">
        <v>84648.34</v>
      </c>
      <c r="G82" s="22">
        <v>87400</v>
      </c>
      <c r="H82" s="22">
        <v>87400</v>
      </c>
      <c r="I82" s="22" t="s">
        <v>25</v>
      </c>
    </row>
    <row r="83" spans="1:9" s="4" customFormat="1" ht="30" customHeight="1" x14ac:dyDescent="0.2">
      <c r="A83" s="126" t="s">
        <v>86</v>
      </c>
      <c r="B83" s="126"/>
      <c r="C83" s="21">
        <v>2320</v>
      </c>
      <c r="D83" s="21">
        <v>852</v>
      </c>
      <c r="E83" s="21"/>
      <c r="F83" s="22">
        <v>0</v>
      </c>
      <c r="G83" s="22"/>
      <c r="H83" s="22"/>
      <c r="I83" s="22" t="s">
        <v>25</v>
      </c>
    </row>
    <row r="84" spans="1:9" s="4" customFormat="1" ht="13.5" customHeight="1" x14ac:dyDescent="0.2">
      <c r="A84" s="126" t="s">
        <v>87</v>
      </c>
      <c r="B84" s="126"/>
      <c r="C84" s="21">
        <v>2330</v>
      </c>
      <c r="D84" s="21">
        <v>853</v>
      </c>
      <c r="E84" s="21"/>
      <c r="F84" s="22">
        <v>16061.63</v>
      </c>
      <c r="G84" s="22">
        <v>12825</v>
      </c>
      <c r="H84" s="22">
        <v>12825</v>
      </c>
      <c r="I84" s="22" t="s">
        <v>25</v>
      </c>
    </row>
    <row r="85" spans="1:9" s="4" customFormat="1" ht="13.5" customHeight="1" x14ac:dyDescent="0.2">
      <c r="A85" s="126" t="s">
        <v>88</v>
      </c>
      <c r="B85" s="126"/>
      <c r="C85" s="21">
        <v>2400</v>
      </c>
      <c r="D85" s="21" t="s">
        <v>25</v>
      </c>
      <c r="E85" s="21"/>
      <c r="F85" s="44">
        <f>SUM(F86:F88)</f>
        <v>0</v>
      </c>
      <c r="G85" s="44">
        <f>SUM(G86:G88)</f>
        <v>0</v>
      </c>
      <c r="H85" s="44">
        <f>SUM(H86:H88)</f>
        <v>0</v>
      </c>
      <c r="I85" s="22" t="s">
        <v>25</v>
      </c>
    </row>
    <row r="86" spans="1:9" s="4" customFormat="1" ht="21.6" customHeight="1" x14ac:dyDescent="0.2">
      <c r="A86" s="126" t="s">
        <v>89</v>
      </c>
      <c r="B86" s="126"/>
      <c r="C86" s="21">
        <v>2410</v>
      </c>
      <c r="D86" s="21">
        <v>613</v>
      </c>
      <c r="E86" s="21"/>
      <c r="F86" s="22"/>
      <c r="G86" s="22"/>
      <c r="H86" s="22"/>
      <c r="I86" s="22" t="s">
        <v>25</v>
      </c>
    </row>
    <row r="87" spans="1:9" s="4" customFormat="1" ht="15" customHeight="1" x14ac:dyDescent="0.2">
      <c r="A87" s="126" t="s">
        <v>90</v>
      </c>
      <c r="B87" s="126"/>
      <c r="C87" s="21">
        <v>2420</v>
      </c>
      <c r="D87" s="21">
        <v>623</v>
      </c>
      <c r="E87" s="21"/>
      <c r="F87" s="22"/>
      <c r="G87" s="22"/>
      <c r="H87" s="22"/>
      <c r="I87" s="22" t="s">
        <v>25</v>
      </c>
    </row>
    <row r="88" spans="1:9" s="4" customFormat="1" ht="30" customHeight="1" x14ac:dyDescent="0.2">
      <c r="A88" s="126" t="s">
        <v>91</v>
      </c>
      <c r="B88" s="126"/>
      <c r="C88" s="21">
        <v>2430</v>
      </c>
      <c r="D88" s="21">
        <v>634</v>
      </c>
      <c r="E88" s="21"/>
      <c r="F88" s="22"/>
      <c r="G88" s="22"/>
      <c r="H88" s="22"/>
      <c r="I88" s="22" t="s">
        <v>25</v>
      </c>
    </row>
    <row r="89" spans="1:9" s="4" customFormat="1" ht="16.899999999999999" customHeight="1" x14ac:dyDescent="0.2">
      <c r="A89" s="139" t="s">
        <v>92</v>
      </c>
      <c r="B89" s="140"/>
      <c r="C89" s="21">
        <v>2440</v>
      </c>
      <c r="D89" s="21">
        <v>810</v>
      </c>
      <c r="E89" s="21"/>
      <c r="F89" s="22"/>
      <c r="G89" s="22"/>
      <c r="H89" s="22"/>
      <c r="I89" s="22"/>
    </row>
    <row r="90" spans="1:9" s="4" customFormat="1" ht="16.899999999999999" customHeight="1" x14ac:dyDescent="0.2">
      <c r="A90" s="139" t="s">
        <v>93</v>
      </c>
      <c r="B90" s="140"/>
      <c r="C90" s="21">
        <v>2450</v>
      </c>
      <c r="D90" s="21">
        <v>862</v>
      </c>
      <c r="E90" s="21"/>
      <c r="F90" s="22"/>
      <c r="G90" s="22"/>
      <c r="H90" s="22"/>
      <c r="I90" s="22"/>
    </row>
    <row r="91" spans="1:9" s="4" customFormat="1" ht="30.75" customHeight="1" x14ac:dyDescent="0.2">
      <c r="A91" s="139" t="s">
        <v>94</v>
      </c>
      <c r="B91" s="140"/>
      <c r="C91" s="21">
        <v>2460</v>
      </c>
      <c r="D91" s="21">
        <v>863</v>
      </c>
      <c r="E91" s="21"/>
      <c r="F91" s="22"/>
      <c r="G91" s="22"/>
      <c r="H91" s="22"/>
      <c r="I91" s="22"/>
    </row>
    <row r="92" spans="1:9" s="4" customFormat="1" ht="15" customHeight="1" x14ac:dyDescent="0.2">
      <c r="A92" s="126" t="s">
        <v>95</v>
      </c>
      <c r="B92" s="126"/>
      <c r="C92" s="21">
        <v>2500</v>
      </c>
      <c r="D92" s="21" t="s">
        <v>25</v>
      </c>
      <c r="E92" s="21"/>
      <c r="F92" s="44">
        <f>F93</f>
        <v>0</v>
      </c>
      <c r="G92" s="44">
        <f>G93</f>
        <v>0</v>
      </c>
      <c r="H92" s="44">
        <f>H93</f>
        <v>0</v>
      </c>
      <c r="I92" s="22" t="s">
        <v>25</v>
      </c>
    </row>
    <row r="93" spans="1:9" s="4" customFormat="1" ht="31.5" customHeight="1" x14ac:dyDescent="0.2">
      <c r="A93" s="126" t="s">
        <v>96</v>
      </c>
      <c r="B93" s="126"/>
      <c r="C93" s="21">
        <v>2520</v>
      </c>
      <c r="D93" s="21">
        <v>831</v>
      </c>
      <c r="E93" s="21"/>
      <c r="F93" s="22"/>
      <c r="G93" s="22"/>
      <c r="H93" s="22"/>
      <c r="I93" s="22" t="s">
        <v>25</v>
      </c>
    </row>
    <row r="94" spans="1:9" s="76" customFormat="1" ht="15" customHeight="1" x14ac:dyDescent="0.2">
      <c r="A94" s="141" t="s">
        <v>97</v>
      </c>
      <c r="B94" s="141"/>
      <c r="C94" s="25">
        <v>2600</v>
      </c>
      <c r="D94" s="25" t="s">
        <v>25</v>
      </c>
      <c r="E94" s="25"/>
      <c r="F94" s="45">
        <f>F95+F96+F97+F109+F106</f>
        <v>16302969.620000001</v>
      </c>
      <c r="G94" s="45">
        <f>G95+G96+G97+G109+G106</f>
        <v>19203604.689999998</v>
      </c>
      <c r="H94" s="45">
        <f>H95+H96+H97+H109+H106</f>
        <v>18904984.009999998</v>
      </c>
      <c r="I94" s="26"/>
    </row>
    <row r="95" spans="1:9" s="4" customFormat="1" ht="30" customHeight="1" x14ac:dyDescent="0.2">
      <c r="A95" s="126" t="s">
        <v>98</v>
      </c>
      <c r="B95" s="126"/>
      <c r="C95" s="21">
        <v>2610</v>
      </c>
      <c r="D95" s="21">
        <v>241</v>
      </c>
      <c r="E95" s="21"/>
      <c r="F95" s="22"/>
      <c r="G95" s="22"/>
      <c r="H95" s="22"/>
      <c r="I95" s="22"/>
    </row>
    <row r="96" spans="1:9" s="4" customFormat="1" ht="27.75" customHeight="1" x14ac:dyDescent="0.2">
      <c r="A96" s="126" t="s">
        <v>99</v>
      </c>
      <c r="B96" s="126"/>
      <c r="C96" s="21">
        <v>2630</v>
      </c>
      <c r="D96" s="21">
        <v>243</v>
      </c>
      <c r="E96" s="21"/>
      <c r="F96" s="22"/>
      <c r="G96" s="22"/>
      <c r="H96" s="22"/>
      <c r="I96" s="22"/>
    </row>
    <row r="97" spans="1:9" s="76" customFormat="1" ht="15" customHeight="1" x14ac:dyDescent="0.2">
      <c r="A97" s="141" t="s">
        <v>100</v>
      </c>
      <c r="B97" s="141"/>
      <c r="C97" s="25">
        <v>2640</v>
      </c>
      <c r="D97" s="25">
        <v>244</v>
      </c>
      <c r="E97" s="25"/>
      <c r="F97" s="45">
        <f>SUM(F98:F105)</f>
        <v>13200918.66</v>
      </c>
      <c r="G97" s="45">
        <f>SUM(G98:G104)</f>
        <v>16852416.689999998</v>
      </c>
      <c r="H97" s="45">
        <f>SUM(H98:H104)</f>
        <v>16553796.009999998</v>
      </c>
      <c r="I97" s="26"/>
    </row>
    <row r="98" spans="1:9" s="4" customFormat="1" ht="14.45" customHeight="1" x14ac:dyDescent="0.2">
      <c r="A98" s="144" t="s">
        <v>101</v>
      </c>
      <c r="B98" s="145"/>
      <c r="C98" s="21"/>
      <c r="D98" s="23"/>
      <c r="E98" s="21"/>
      <c r="F98" s="22"/>
      <c r="G98" s="22"/>
      <c r="H98" s="22"/>
      <c r="I98" s="22"/>
    </row>
    <row r="99" spans="1:9" s="4" customFormat="1" ht="16.149999999999999" customHeight="1" x14ac:dyDescent="0.2">
      <c r="A99" s="126" t="s">
        <v>102</v>
      </c>
      <c r="B99" s="126"/>
      <c r="C99" s="21">
        <v>2641</v>
      </c>
      <c r="D99" s="23" t="s">
        <v>103</v>
      </c>
      <c r="E99" s="21"/>
      <c r="F99" s="22">
        <v>570020.48</v>
      </c>
      <c r="G99" s="22">
        <v>234490.45</v>
      </c>
      <c r="H99" s="22">
        <v>234490.45</v>
      </c>
      <c r="I99" s="22"/>
    </row>
    <row r="100" spans="1:9" s="4" customFormat="1" ht="13.15" customHeight="1" x14ac:dyDescent="0.2">
      <c r="A100" s="126" t="s">
        <v>104</v>
      </c>
      <c r="B100" s="126"/>
      <c r="C100" s="21">
        <v>2642</v>
      </c>
      <c r="D100" s="23" t="s">
        <v>103</v>
      </c>
      <c r="E100" s="21"/>
      <c r="F100" s="22">
        <v>409623.62</v>
      </c>
      <c r="G100" s="22">
        <v>290000</v>
      </c>
      <c r="H100" s="22">
        <v>290000</v>
      </c>
      <c r="I100" s="22"/>
    </row>
    <row r="101" spans="1:9" s="4" customFormat="1" ht="15" customHeight="1" x14ac:dyDescent="0.2">
      <c r="A101" s="144" t="s">
        <v>105</v>
      </c>
      <c r="B101" s="145"/>
      <c r="C101" s="24">
        <v>2643</v>
      </c>
      <c r="D101" s="23" t="s">
        <v>103</v>
      </c>
      <c r="E101" s="21"/>
      <c r="F101" s="22">
        <v>1122630.1499999999</v>
      </c>
      <c r="G101" s="22">
        <f>273209.72+50000</f>
        <v>323209.71999999997</v>
      </c>
      <c r="H101" s="22">
        <f>273209.72+50000</f>
        <v>323209.71999999997</v>
      </c>
      <c r="I101" s="22"/>
    </row>
    <row r="102" spans="1:9" s="4" customFormat="1" ht="14.45" customHeight="1" x14ac:dyDescent="0.2">
      <c r="A102" s="126" t="s">
        <v>106</v>
      </c>
      <c r="B102" s="126"/>
      <c r="C102" s="21">
        <v>2644</v>
      </c>
      <c r="D102" s="23" t="s">
        <v>103</v>
      </c>
      <c r="E102" s="21"/>
      <c r="F102" s="22">
        <v>7841271.1100000003</v>
      </c>
      <c r="G102" s="22">
        <f>535232.88+1799245.32+205000+8792949.77+45350+25100+11600+236850+18223.07</f>
        <v>11669551.039999999</v>
      </c>
      <c r="H102" s="22">
        <f>535232.88+1799245.32+205000+45350+22330.32+8036+236850+8541399.36</f>
        <v>11393443.879999999</v>
      </c>
      <c r="I102" s="22"/>
    </row>
    <row r="103" spans="1:9" s="4" customFormat="1" ht="16.149999999999999" customHeight="1" x14ac:dyDescent="0.2">
      <c r="A103" s="126" t="s">
        <v>107</v>
      </c>
      <c r="B103" s="126"/>
      <c r="C103" s="24">
        <v>2645</v>
      </c>
      <c r="D103" s="23" t="s">
        <v>103</v>
      </c>
      <c r="E103" s="21"/>
      <c r="F103" s="22">
        <v>2408051.58</v>
      </c>
      <c r="G103" s="22">
        <f>1857200+1500000</f>
        <v>3357200</v>
      </c>
      <c r="H103" s="22">
        <f>1857200+1500000</f>
        <v>3357200</v>
      </c>
      <c r="I103" s="22"/>
    </row>
    <row r="104" spans="1:9" s="4" customFormat="1" ht="13.9" customHeight="1" x14ac:dyDescent="0.2">
      <c r="A104" s="126" t="s">
        <v>108</v>
      </c>
      <c r="B104" s="126"/>
      <c r="C104" s="24">
        <v>2646</v>
      </c>
      <c r="D104" s="23" t="s">
        <v>103</v>
      </c>
      <c r="E104" s="21"/>
      <c r="F104" s="22">
        <v>849321.72</v>
      </c>
      <c r="G104" s="22">
        <f>20665.48+62000+654400+300000+22000+25000-106100</f>
        <v>977965.48</v>
      </c>
      <c r="H104" s="22">
        <f>20665.48+62000+654400+300000+22000+25000-128613.52</f>
        <v>955451.96</v>
      </c>
      <c r="I104" s="22"/>
    </row>
    <row r="105" spans="1:9" s="4" customFormat="1" ht="10.15" customHeight="1" x14ac:dyDescent="0.2">
      <c r="A105" s="139"/>
      <c r="B105" s="140"/>
      <c r="C105" s="24"/>
      <c r="D105" s="23"/>
      <c r="E105" s="21"/>
      <c r="F105" s="22"/>
      <c r="G105" s="22"/>
      <c r="H105" s="22"/>
      <c r="I105" s="22"/>
    </row>
    <row r="106" spans="1:9" s="76" customFormat="1" ht="17.45" customHeight="1" x14ac:dyDescent="0.2">
      <c r="A106" s="142" t="s">
        <v>211</v>
      </c>
      <c r="B106" s="143" t="s">
        <v>211</v>
      </c>
      <c r="C106" s="74">
        <v>2660</v>
      </c>
      <c r="D106" s="75" t="s">
        <v>212</v>
      </c>
      <c r="E106" s="25"/>
      <c r="F106" s="77">
        <f>F108</f>
        <v>3102050.96</v>
      </c>
      <c r="G106" s="77">
        <f>G108</f>
        <v>2351188</v>
      </c>
      <c r="H106" s="77">
        <f>H108</f>
        <v>2351188</v>
      </c>
      <c r="I106" s="26"/>
    </row>
    <row r="107" spans="1:9" s="4" customFormat="1" ht="17.45" customHeight="1" x14ac:dyDescent="0.2">
      <c r="A107" s="144" t="s">
        <v>50</v>
      </c>
      <c r="B107" s="145" t="s">
        <v>50</v>
      </c>
      <c r="C107" s="24"/>
      <c r="D107" s="23"/>
      <c r="E107" s="21"/>
      <c r="F107" s="22"/>
      <c r="G107" s="22"/>
      <c r="H107" s="22"/>
      <c r="I107" s="22"/>
    </row>
    <row r="108" spans="1:9" s="4" customFormat="1" ht="17.45" customHeight="1" x14ac:dyDescent="0.2">
      <c r="A108" s="144" t="s">
        <v>104</v>
      </c>
      <c r="B108" s="145" t="s">
        <v>104</v>
      </c>
      <c r="C108" s="24">
        <v>2661</v>
      </c>
      <c r="D108" s="23" t="s">
        <v>212</v>
      </c>
      <c r="E108" s="21"/>
      <c r="F108" s="22">
        <v>3102050.96</v>
      </c>
      <c r="G108" s="22">
        <v>2351188</v>
      </c>
      <c r="H108" s="22">
        <v>2351188</v>
      </c>
      <c r="I108" s="22"/>
    </row>
    <row r="109" spans="1:9" s="4" customFormat="1" ht="21.6" customHeight="1" x14ac:dyDescent="0.2">
      <c r="A109" s="139" t="s">
        <v>109</v>
      </c>
      <c r="B109" s="140"/>
      <c r="C109" s="21">
        <v>2650</v>
      </c>
      <c r="D109" s="21">
        <v>400</v>
      </c>
      <c r="E109" s="21"/>
      <c r="F109" s="22">
        <f>F110+F111</f>
        <v>0</v>
      </c>
      <c r="G109" s="22">
        <f>G110+G111</f>
        <v>0</v>
      </c>
      <c r="H109" s="22">
        <f>H110+H111</f>
        <v>0</v>
      </c>
      <c r="I109" s="22">
        <f>I110+I111</f>
        <v>0</v>
      </c>
    </row>
    <row r="110" spans="1:9" s="4" customFormat="1" ht="37.9" customHeight="1" x14ac:dyDescent="0.2">
      <c r="A110" s="139" t="s">
        <v>110</v>
      </c>
      <c r="B110" s="140"/>
      <c r="C110" s="21">
        <v>2651</v>
      </c>
      <c r="D110" s="21">
        <v>406</v>
      </c>
      <c r="E110" s="21"/>
      <c r="F110" s="22"/>
      <c r="G110" s="22"/>
      <c r="H110" s="22"/>
      <c r="I110" s="22"/>
    </row>
    <row r="111" spans="1:9" s="4" customFormat="1" ht="30" customHeight="1" x14ac:dyDescent="0.2">
      <c r="A111" s="139" t="s">
        <v>111</v>
      </c>
      <c r="B111" s="140"/>
      <c r="C111" s="21">
        <v>2652</v>
      </c>
      <c r="D111" s="21">
        <v>407</v>
      </c>
      <c r="E111" s="21"/>
      <c r="F111" s="22"/>
      <c r="G111" s="22"/>
      <c r="H111" s="22"/>
      <c r="I111" s="22"/>
    </row>
    <row r="112" spans="1:9" s="4" customFormat="1" ht="15" customHeight="1" x14ac:dyDescent="0.2">
      <c r="A112" s="141" t="s">
        <v>112</v>
      </c>
      <c r="B112" s="141"/>
      <c r="C112" s="25">
        <v>3000</v>
      </c>
      <c r="D112" s="25">
        <v>100</v>
      </c>
      <c r="E112" s="21"/>
      <c r="F112" s="45">
        <f>SUM(F113:F115)</f>
        <v>0</v>
      </c>
      <c r="G112" s="45">
        <f>SUM(G113:G115)</f>
        <v>0</v>
      </c>
      <c r="H112" s="45">
        <f>SUM(H113:H115)</f>
        <v>0</v>
      </c>
      <c r="I112" s="26" t="s">
        <v>25</v>
      </c>
    </row>
    <row r="113" spans="1:9" s="4" customFormat="1" ht="26.25" customHeight="1" x14ac:dyDescent="0.2">
      <c r="A113" s="126" t="s">
        <v>113</v>
      </c>
      <c r="B113" s="126"/>
      <c r="C113" s="21">
        <v>3010</v>
      </c>
      <c r="D113" s="21"/>
      <c r="E113" s="25"/>
      <c r="F113" s="22"/>
      <c r="G113" s="22"/>
      <c r="H113" s="22"/>
      <c r="I113" s="22" t="s">
        <v>25</v>
      </c>
    </row>
    <row r="114" spans="1:9" s="4" customFormat="1" ht="15" customHeight="1" x14ac:dyDescent="0.2">
      <c r="A114" s="126" t="s">
        <v>114</v>
      </c>
      <c r="B114" s="126"/>
      <c r="C114" s="21">
        <v>3020</v>
      </c>
      <c r="D114" s="21"/>
      <c r="E114" s="21"/>
      <c r="F114" s="22"/>
      <c r="G114" s="22"/>
      <c r="H114" s="22"/>
      <c r="I114" s="22" t="s">
        <v>25</v>
      </c>
    </row>
    <row r="115" spans="1:9" s="4" customFormat="1" ht="15" customHeight="1" x14ac:dyDescent="0.2">
      <c r="A115" s="126" t="s">
        <v>115</v>
      </c>
      <c r="B115" s="126"/>
      <c r="C115" s="21">
        <v>3030</v>
      </c>
      <c r="D115" s="21"/>
      <c r="E115" s="21"/>
      <c r="F115" s="22"/>
      <c r="G115" s="22"/>
      <c r="H115" s="22"/>
      <c r="I115" s="22" t="s">
        <v>25</v>
      </c>
    </row>
    <row r="116" spans="1:9" s="4" customFormat="1" ht="15" customHeight="1" x14ac:dyDescent="0.2">
      <c r="A116" s="141" t="s">
        <v>116</v>
      </c>
      <c r="B116" s="141"/>
      <c r="C116" s="25">
        <v>4000</v>
      </c>
      <c r="D116" s="25" t="s">
        <v>25</v>
      </c>
      <c r="E116" s="21"/>
      <c r="F116" s="45">
        <f>F117</f>
        <v>472086.57</v>
      </c>
      <c r="G116" s="26">
        <f>G117</f>
        <v>0</v>
      </c>
      <c r="H116" s="26">
        <f>H117</f>
        <v>0</v>
      </c>
      <c r="I116" s="26" t="s">
        <v>25</v>
      </c>
    </row>
    <row r="117" spans="1:9" s="4" customFormat="1" ht="25.5" customHeight="1" x14ac:dyDescent="0.2">
      <c r="A117" s="126" t="s">
        <v>117</v>
      </c>
      <c r="B117" s="126"/>
      <c r="C117" s="21">
        <v>4010</v>
      </c>
      <c r="D117" s="21">
        <v>610</v>
      </c>
      <c r="E117" s="25"/>
      <c r="F117" s="22">
        <f>378548.25+72228.32+21310</f>
        <v>472086.57</v>
      </c>
      <c r="G117" s="22"/>
      <c r="H117" s="22"/>
      <c r="I117" s="22" t="s">
        <v>25</v>
      </c>
    </row>
    <row r="118" spans="1:9" s="4" customFormat="1" ht="9.6" customHeight="1" x14ac:dyDescent="0.2">
      <c r="A118" s="27"/>
      <c r="B118" s="28"/>
      <c r="C118" s="29"/>
      <c r="D118" s="29"/>
      <c r="E118" s="30"/>
      <c r="F118" s="31"/>
      <c r="G118" s="31"/>
      <c r="H118" s="31"/>
      <c r="I118" s="31"/>
    </row>
    <row r="119" spans="1:9" x14ac:dyDescent="0.25">
      <c r="A119" s="127" t="s">
        <v>118</v>
      </c>
      <c r="B119" s="127"/>
      <c r="C119" s="127"/>
      <c r="D119" s="127"/>
      <c r="E119" s="127"/>
      <c r="F119" s="127"/>
      <c r="G119" s="127"/>
      <c r="H119" s="127"/>
      <c r="I119" s="32"/>
    </row>
    <row r="120" spans="1:9" ht="7.9" customHeight="1" x14ac:dyDescent="0.25">
      <c r="A120" s="33"/>
      <c r="B120" s="32"/>
      <c r="C120" s="34"/>
      <c r="D120" s="34"/>
      <c r="E120" s="34"/>
      <c r="F120" s="34"/>
      <c r="G120" s="34"/>
      <c r="H120" s="34"/>
      <c r="I120" s="32"/>
    </row>
    <row r="121" spans="1:9" ht="15.6" customHeight="1" x14ac:dyDescent="0.25">
      <c r="A121" s="128" t="s">
        <v>119</v>
      </c>
      <c r="B121" s="128" t="s">
        <v>12</v>
      </c>
      <c r="C121" s="128" t="s">
        <v>120</v>
      </c>
      <c r="D121" s="128" t="s">
        <v>121</v>
      </c>
      <c r="E121" s="131" t="s">
        <v>14</v>
      </c>
      <c r="F121" s="134" t="s">
        <v>16</v>
      </c>
      <c r="G121" s="135"/>
      <c r="H121" s="135"/>
      <c r="I121" s="136"/>
    </row>
    <row r="122" spans="1:9" ht="19.899999999999999" customHeight="1" x14ac:dyDescent="0.25">
      <c r="A122" s="129"/>
      <c r="B122" s="129"/>
      <c r="C122" s="129"/>
      <c r="D122" s="129"/>
      <c r="E122" s="132"/>
      <c r="F122" s="11" t="s">
        <v>17</v>
      </c>
      <c r="G122" s="11" t="s">
        <v>18</v>
      </c>
      <c r="H122" s="11" t="s">
        <v>218</v>
      </c>
      <c r="I122" s="137" t="s">
        <v>19</v>
      </c>
    </row>
    <row r="123" spans="1:9" ht="36.6" customHeight="1" x14ac:dyDescent="0.25">
      <c r="A123" s="130"/>
      <c r="B123" s="130"/>
      <c r="C123" s="130"/>
      <c r="D123" s="130"/>
      <c r="E123" s="133"/>
      <c r="F123" s="11" t="s">
        <v>20</v>
      </c>
      <c r="G123" s="11" t="s">
        <v>21</v>
      </c>
      <c r="H123" s="11" t="s">
        <v>22</v>
      </c>
      <c r="I123" s="138"/>
    </row>
    <row r="124" spans="1:9" ht="14.45" customHeight="1" x14ac:dyDescent="0.25">
      <c r="A124" s="19">
        <v>1</v>
      </c>
      <c r="B124" s="11">
        <v>2</v>
      </c>
      <c r="C124" s="11">
        <v>3</v>
      </c>
      <c r="D124" s="11">
        <v>4</v>
      </c>
      <c r="E124" s="12" t="s">
        <v>122</v>
      </c>
      <c r="F124" s="11">
        <v>5</v>
      </c>
      <c r="G124" s="11">
        <v>6</v>
      </c>
      <c r="H124" s="11">
        <v>7</v>
      </c>
      <c r="I124" s="11">
        <v>8</v>
      </c>
    </row>
    <row r="125" spans="1:9" ht="21" customHeight="1" x14ac:dyDescent="0.25">
      <c r="A125" s="19">
        <v>1</v>
      </c>
      <c r="B125" s="35" t="s">
        <v>123</v>
      </c>
      <c r="C125" s="25">
        <v>26000</v>
      </c>
      <c r="D125" s="25" t="s">
        <v>25</v>
      </c>
      <c r="E125" s="10" t="s">
        <v>25</v>
      </c>
      <c r="F125" s="45">
        <f>F126+F127+F128+F132</f>
        <v>16302969.620000005</v>
      </c>
      <c r="G125" s="45">
        <f>G126+G127+G128+G132</f>
        <v>19203604.689999998</v>
      </c>
      <c r="H125" s="45">
        <f>H126+H127+H128+H132</f>
        <v>18904984.009999998</v>
      </c>
      <c r="I125" s="26">
        <f>I126+I127+I128+I132</f>
        <v>0</v>
      </c>
    </row>
    <row r="126" spans="1:9" ht="145.15" customHeight="1" x14ac:dyDescent="0.25">
      <c r="A126" s="36" t="s">
        <v>124</v>
      </c>
      <c r="B126" s="37" t="s">
        <v>125</v>
      </c>
      <c r="C126" s="38">
        <v>26100</v>
      </c>
      <c r="D126" s="21" t="s">
        <v>25</v>
      </c>
      <c r="E126" s="10" t="s">
        <v>25</v>
      </c>
      <c r="F126" s="22"/>
      <c r="G126" s="22"/>
      <c r="H126" s="22"/>
      <c r="I126" s="22"/>
    </row>
    <row r="127" spans="1:9" ht="40.9" customHeight="1" x14ac:dyDescent="0.25">
      <c r="A127" s="36" t="s">
        <v>126</v>
      </c>
      <c r="B127" s="37" t="s">
        <v>127</v>
      </c>
      <c r="C127" s="38">
        <v>26200</v>
      </c>
      <c r="D127" s="21" t="s">
        <v>25</v>
      </c>
      <c r="E127" s="10" t="s">
        <v>25</v>
      </c>
      <c r="F127" s="22"/>
      <c r="G127" s="22"/>
      <c r="H127" s="22"/>
      <c r="I127" s="22"/>
    </row>
    <row r="128" spans="1:9" ht="39" customHeight="1" x14ac:dyDescent="0.25">
      <c r="A128" s="36" t="s">
        <v>128</v>
      </c>
      <c r="B128" s="37" t="s">
        <v>129</v>
      </c>
      <c r="C128" s="38">
        <v>26300</v>
      </c>
      <c r="D128" s="21" t="s">
        <v>25</v>
      </c>
      <c r="E128" s="10" t="s">
        <v>25</v>
      </c>
      <c r="F128" s="22">
        <v>4273527.2</v>
      </c>
      <c r="G128" s="22">
        <v>0</v>
      </c>
      <c r="H128" s="22">
        <v>0</v>
      </c>
      <c r="I128" s="22"/>
    </row>
    <row r="129" spans="1:12" ht="14.45" customHeight="1" x14ac:dyDescent="0.25">
      <c r="A129" s="39" t="s">
        <v>130</v>
      </c>
      <c r="B129" s="37" t="s">
        <v>131</v>
      </c>
      <c r="C129" s="38">
        <v>26310</v>
      </c>
      <c r="D129" s="21" t="s">
        <v>25</v>
      </c>
      <c r="E129" s="40" t="s">
        <v>25</v>
      </c>
      <c r="F129" s="44">
        <f>F128</f>
        <v>4273527.2</v>
      </c>
      <c r="G129" s="22"/>
      <c r="H129" s="22"/>
      <c r="I129" s="22"/>
    </row>
    <row r="130" spans="1:12" x14ac:dyDescent="0.25">
      <c r="A130" s="39"/>
      <c r="B130" s="37" t="s">
        <v>191</v>
      </c>
      <c r="C130" s="38" t="s">
        <v>132</v>
      </c>
      <c r="D130" s="21" t="s">
        <v>25</v>
      </c>
      <c r="E130" s="10">
        <v>150</v>
      </c>
      <c r="F130" s="22">
        <v>35880</v>
      </c>
      <c r="G130" s="22"/>
      <c r="H130" s="22"/>
      <c r="I130" s="22"/>
      <c r="J130" s="53"/>
      <c r="K130" s="53"/>
    </row>
    <row r="131" spans="1:12" ht="15.6" customHeight="1" x14ac:dyDescent="0.25">
      <c r="A131" s="39" t="s">
        <v>133</v>
      </c>
      <c r="B131" s="37" t="s">
        <v>134</v>
      </c>
      <c r="C131" s="38">
        <v>26320</v>
      </c>
      <c r="D131" s="21" t="s">
        <v>25</v>
      </c>
      <c r="E131" s="10" t="s">
        <v>25</v>
      </c>
      <c r="F131" s="22"/>
      <c r="G131" s="22"/>
      <c r="H131" s="22"/>
      <c r="I131" s="22"/>
    </row>
    <row r="132" spans="1:12" ht="39.6" customHeight="1" x14ac:dyDescent="0.25">
      <c r="A132" s="36" t="s">
        <v>135</v>
      </c>
      <c r="B132" s="37" t="s">
        <v>136</v>
      </c>
      <c r="C132" s="38">
        <v>26400</v>
      </c>
      <c r="D132" s="21" t="s">
        <v>25</v>
      </c>
      <c r="E132" s="10" t="s">
        <v>25</v>
      </c>
      <c r="F132" s="44">
        <f>F133+F136+F143+F145+F148</f>
        <v>12029442.420000004</v>
      </c>
      <c r="G132" s="44">
        <f>G133+G136+G143+G145+G148</f>
        <v>19203604.689999998</v>
      </c>
      <c r="H132" s="44">
        <f>H133+H136+H143+H145+H148</f>
        <v>18904984.009999998</v>
      </c>
      <c r="I132" s="22">
        <f>I133+I136+I143+I145+I148</f>
        <v>0</v>
      </c>
      <c r="J132" s="50"/>
      <c r="K132" s="6"/>
      <c r="L132" s="6"/>
    </row>
    <row r="133" spans="1:12" ht="38.450000000000003" customHeight="1" x14ac:dyDescent="0.25">
      <c r="A133" s="39" t="s">
        <v>137</v>
      </c>
      <c r="B133" s="37" t="s">
        <v>138</v>
      </c>
      <c r="C133" s="38">
        <v>26410</v>
      </c>
      <c r="D133" s="21" t="s">
        <v>25</v>
      </c>
      <c r="E133" s="10" t="s">
        <v>25</v>
      </c>
      <c r="F133" s="44">
        <f>F134+F135</f>
        <v>4347563.2100000028</v>
      </c>
      <c r="G133" s="44">
        <f>G134+G135</f>
        <v>6583666.3699999973</v>
      </c>
      <c r="H133" s="44">
        <f>H134+H135</f>
        <v>6561152.8499999996</v>
      </c>
      <c r="I133" s="22">
        <f>I134+I135</f>
        <v>0</v>
      </c>
    </row>
    <row r="134" spans="1:12" ht="26.25" x14ac:dyDescent="0.25">
      <c r="A134" s="39" t="s">
        <v>139</v>
      </c>
      <c r="B134" s="37" t="s">
        <v>140</v>
      </c>
      <c r="C134" s="38">
        <v>26411</v>
      </c>
      <c r="D134" s="21" t="s">
        <v>25</v>
      </c>
      <c r="E134" s="10" t="s">
        <v>25</v>
      </c>
      <c r="F134" s="44">
        <f>F94-F128-F136-F148-F126</f>
        <v>4347563.2100000028</v>
      </c>
      <c r="G134" s="44">
        <f>G94-G128-G136-G148</f>
        <v>6583666.3699999973</v>
      </c>
      <c r="H134" s="44">
        <f>H94-H128-H136-H148</f>
        <v>6561152.8499999996</v>
      </c>
      <c r="I134" s="22"/>
    </row>
    <row r="135" spans="1:12" ht="19.899999999999999" customHeight="1" x14ac:dyDescent="0.25">
      <c r="A135" s="39" t="s">
        <v>141</v>
      </c>
      <c r="B135" s="37" t="s">
        <v>142</v>
      </c>
      <c r="C135" s="21">
        <v>26412</v>
      </c>
      <c r="D135" s="21" t="s">
        <v>25</v>
      </c>
      <c r="E135" s="10" t="s">
        <v>25</v>
      </c>
      <c r="F135" s="22"/>
      <c r="G135" s="22"/>
      <c r="H135" s="22"/>
      <c r="I135" s="22"/>
    </row>
    <row r="136" spans="1:12" ht="28.9" customHeight="1" x14ac:dyDescent="0.25">
      <c r="A136" s="39" t="s">
        <v>143</v>
      </c>
      <c r="B136" s="37" t="s">
        <v>144</v>
      </c>
      <c r="C136" s="38">
        <v>26420</v>
      </c>
      <c r="D136" s="21" t="s">
        <v>25</v>
      </c>
      <c r="E136" s="10" t="s">
        <v>25</v>
      </c>
      <c r="F136" s="44">
        <f>F137+F142</f>
        <v>7240080.2399999993</v>
      </c>
      <c r="G136" s="44">
        <f>G137+G142</f>
        <v>12537272.84</v>
      </c>
      <c r="H136" s="44">
        <f>H137+H142</f>
        <v>12261165.679999998</v>
      </c>
      <c r="I136" s="22">
        <f>I137+I142</f>
        <v>0</v>
      </c>
    </row>
    <row r="137" spans="1:12" ht="26.45" customHeight="1" x14ac:dyDescent="0.25">
      <c r="A137" s="39" t="s">
        <v>145</v>
      </c>
      <c r="B137" s="37" t="s">
        <v>140</v>
      </c>
      <c r="C137" s="38">
        <v>26421</v>
      </c>
      <c r="D137" s="21" t="s">
        <v>25</v>
      </c>
      <c r="E137" s="10" t="s">
        <v>25</v>
      </c>
      <c r="F137" s="82">
        <f>F36-76804.92-23195.08-F55-F130-F41</f>
        <v>7240080.2399999993</v>
      </c>
      <c r="G137" s="44">
        <f>G36-76804.92-23195.08-G55</f>
        <v>12537272.84</v>
      </c>
      <c r="H137" s="44">
        <f>H36-76804.92-23195.08-H55</f>
        <v>12261165.679999998</v>
      </c>
      <c r="I137" s="22"/>
    </row>
    <row r="138" spans="1:12" ht="15.6" customHeight="1" x14ac:dyDescent="0.25">
      <c r="A138" s="39"/>
      <c r="B138" s="37" t="s">
        <v>146</v>
      </c>
      <c r="C138" s="38" t="s">
        <v>147</v>
      </c>
      <c r="D138" s="21" t="s">
        <v>25</v>
      </c>
      <c r="E138" s="10">
        <v>150</v>
      </c>
      <c r="F138" s="44">
        <f>F137-F139-F140-F141</f>
        <v>2986848.8699999996</v>
      </c>
      <c r="G138" s="44">
        <f>G137-G139-G140-G141</f>
        <v>3744323.0699999994</v>
      </c>
      <c r="H138" s="44">
        <f>H137-H139-H140-H141</f>
        <v>3719766.319999998</v>
      </c>
      <c r="I138" s="22"/>
      <c r="J138" s="51"/>
    </row>
    <row r="139" spans="1:12" ht="55.15" customHeight="1" x14ac:dyDescent="0.25">
      <c r="A139" s="39"/>
      <c r="B139" s="37" t="s">
        <v>198</v>
      </c>
      <c r="C139" s="38" t="s">
        <v>225</v>
      </c>
      <c r="D139" s="21" t="s">
        <v>25</v>
      </c>
      <c r="E139" s="10" t="s">
        <v>197</v>
      </c>
      <c r="F139" s="44">
        <f>F52</f>
        <v>3096070.53</v>
      </c>
      <c r="G139" s="44">
        <v>6481945.7000000002</v>
      </c>
      <c r="H139" s="44">
        <f>H52</f>
        <v>6482395.7000000002</v>
      </c>
      <c r="I139" s="22"/>
      <c r="J139" s="51"/>
    </row>
    <row r="140" spans="1:12" ht="59.45" customHeight="1" x14ac:dyDescent="0.25">
      <c r="A140" s="39"/>
      <c r="B140" s="37" t="s">
        <v>199</v>
      </c>
      <c r="C140" s="38" t="s">
        <v>226</v>
      </c>
      <c r="D140" s="21" t="s">
        <v>25</v>
      </c>
      <c r="E140" s="10" t="s">
        <v>197</v>
      </c>
      <c r="F140" s="44">
        <f>F53</f>
        <v>977698.63</v>
      </c>
      <c r="G140" s="44">
        <v>2046995.37</v>
      </c>
      <c r="H140" s="44">
        <f>H53</f>
        <v>1802579.38</v>
      </c>
      <c r="I140" s="22"/>
    </row>
    <row r="141" spans="1:12" ht="53.45" customHeight="1" x14ac:dyDescent="0.25">
      <c r="A141" s="39"/>
      <c r="B141" s="37" t="s">
        <v>200</v>
      </c>
      <c r="C141" s="38" t="s">
        <v>194</v>
      </c>
      <c r="D141" s="21" t="s">
        <v>25</v>
      </c>
      <c r="E141" s="10" t="s">
        <v>197</v>
      </c>
      <c r="F141" s="44">
        <f>F54</f>
        <v>179462.21</v>
      </c>
      <c r="G141" s="44">
        <v>264008.7</v>
      </c>
      <c r="H141" s="44">
        <f>H54</f>
        <v>256424.28</v>
      </c>
      <c r="I141" s="22"/>
    </row>
    <row r="142" spans="1:12" ht="19.899999999999999" customHeight="1" x14ac:dyDescent="0.25">
      <c r="A142" s="39" t="s">
        <v>148</v>
      </c>
      <c r="B142" s="37" t="s">
        <v>142</v>
      </c>
      <c r="C142" s="38">
        <v>26422</v>
      </c>
      <c r="D142" s="21" t="s">
        <v>25</v>
      </c>
      <c r="E142" s="10" t="s">
        <v>25</v>
      </c>
      <c r="F142" s="22"/>
      <c r="G142" s="22"/>
      <c r="H142" s="22"/>
      <c r="I142" s="22"/>
    </row>
    <row r="143" spans="1:12" ht="18.600000000000001" customHeight="1" x14ac:dyDescent="0.25">
      <c r="A143" s="39" t="s">
        <v>149</v>
      </c>
      <c r="B143" s="37" t="s">
        <v>150</v>
      </c>
      <c r="C143" s="38">
        <v>26430</v>
      </c>
      <c r="D143" s="21" t="s">
        <v>25</v>
      </c>
      <c r="E143" s="10" t="s">
        <v>25</v>
      </c>
      <c r="F143" s="22"/>
      <c r="G143" s="22"/>
      <c r="H143" s="22"/>
      <c r="I143" s="22"/>
      <c r="L143" s="51"/>
    </row>
    <row r="144" spans="1:12" ht="16.899999999999999" customHeight="1" x14ac:dyDescent="0.25">
      <c r="A144" s="39"/>
      <c r="B144" s="37" t="s">
        <v>146</v>
      </c>
      <c r="C144" s="38" t="s">
        <v>151</v>
      </c>
      <c r="D144" s="21" t="s">
        <v>25</v>
      </c>
      <c r="E144" s="10"/>
      <c r="F144" s="22"/>
      <c r="G144" s="22"/>
      <c r="H144" s="22"/>
      <c r="I144" s="22"/>
    </row>
    <row r="145" spans="1:10" ht="19.149999999999999" customHeight="1" x14ac:dyDescent="0.25">
      <c r="A145" s="39" t="s">
        <v>152</v>
      </c>
      <c r="B145" s="37" t="s">
        <v>153</v>
      </c>
      <c r="C145" s="38">
        <v>26440</v>
      </c>
      <c r="D145" s="21" t="s">
        <v>25</v>
      </c>
      <c r="E145" s="10" t="s">
        <v>25</v>
      </c>
      <c r="F145" s="44">
        <f>F146+F147</f>
        <v>0</v>
      </c>
      <c r="G145" s="44">
        <f>G146+G147</f>
        <v>0</v>
      </c>
      <c r="H145" s="44">
        <f>H146+H147</f>
        <v>0</v>
      </c>
      <c r="I145" s="22">
        <f>I146+I147</f>
        <v>0</v>
      </c>
    </row>
    <row r="146" spans="1:10" ht="27.6" customHeight="1" x14ac:dyDescent="0.25">
      <c r="A146" s="39" t="s">
        <v>154</v>
      </c>
      <c r="B146" s="37" t="s">
        <v>140</v>
      </c>
      <c r="C146" s="38">
        <v>26441</v>
      </c>
      <c r="D146" s="21" t="s">
        <v>25</v>
      </c>
      <c r="E146" s="10" t="s">
        <v>25</v>
      </c>
      <c r="F146" s="22"/>
      <c r="G146" s="22"/>
      <c r="H146" s="22"/>
      <c r="I146" s="22"/>
    </row>
    <row r="147" spans="1:10" ht="19.149999999999999" customHeight="1" x14ac:dyDescent="0.25">
      <c r="A147" s="41" t="s">
        <v>155</v>
      </c>
      <c r="B147" s="37" t="s">
        <v>142</v>
      </c>
      <c r="C147" s="38">
        <v>26442</v>
      </c>
      <c r="D147" s="21" t="s">
        <v>25</v>
      </c>
      <c r="E147" s="10" t="s">
        <v>25</v>
      </c>
      <c r="F147" s="22"/>
      <c r="G147" s="22"/>
      <c r="H147" s="22"/>
      <c r="I147" s="22"/>
    </row>
    <row r="148" spans="1:10" ht="19.899999999999999" customHeight="1" x14ac:dyDescent="0.25">
      <c r="A148" s="41" t="s">
        <v>156</v>
      </c>
      <c r="B148" s="37" t="s">
        <v>157</v>
      </c>
      <c r="C148" s="38">
        <v>26450</v>
      </c>
      <c r="D148" s="21" t="s">
        <v>25</v>
      </c>
      <c r="E148" s="10" t="s">
        <v>25</v>
      </c>
      <c r="F148" s="94">
        <f>F149+F151</f>
        <v>441798.97</v>
      </c>
      <c r="G148" s="94">
        <f>G149+G151</f>
        <v>82665.48</v>
      </c>
      <c r="H148" s="94">
        <f>H149+H151</f>
        <v>82665.48</v>
      </c>
      <c r="I148" s="22">
        <f>I149+I151</f>
        <v>0</v>
      </c>
    </row>
    <row r="149" spans="1:10" ht="26.25" x14ac:dyDescent="0.25">
      <c r="A149" s="41" t="s">
        <v>158</v>
      </c>
      <c r="B149" s="37" t="s">
        <v>140</v>
      </c>
      <c r="C149" s="38">
        <v>26451</v>
      </c>
      <c r="D149" s="21" t="s">
        <v>25</v>
      </c>
      <c r="E149" s="10" t="s">
        <v>25</v>
      </c>
      <c r="F149" s="94">
        <v>441798.97</v>
      </c>
      <c r="G149" s="94">
        <f>20665.48+62000</f>
        <v>82665.48</v>
      </c>
      <c r="H149" s="94">
        <f>20665.48+62000</f>
        <v>82665.48</v>
      </c>
      <c r="I149" s="22"/>
    </row>
    <row r="150" spans="1:10" ht="19.149999999999999" customHeight="1" x14ac:dyDescent="0.25">
      <c r="A150" s="41"/>
      <c r="B150" s="37" t="s">
        <v>146</v>
      </c>
      <c r="C150" s="38" t="s">
        <v>159</v>
      </c>
      <c r="D150" s="21" t="s">
        <v>25</v>
      </c>
      <c r="E150" s="10">
        <v>150</v>
      </c>
      <c r="F150" s="49"/>
      <c r="G150" s="22"/>
      <c r="H150" s="22"/>
      <c r="I150" s="22"/>
      <c r="J150" s="53"/>
    </row>
    <row r="151" spans="1:10" ht="19.899999999999999" customHeight="1" x14ac:dyDescent="0.25">
      <c r="A151" s="41" t="s">
        <v>160</v>
      </c>
      <c r="B151" s="37" t="s">
        <v>142</v>
      </c>
      <c r="C151" s="38">
        <v>26452</v>
      </c>
      <c r="D151" s="21" t="s">
        <v>25</v>
      </c>
      <c r="E151" s="10" t="s">
        <v>25</v>
      </c>
      <c r="F151" s="22"/>
      <c r="G151" s="22"/>
      <c r="H151" s="22"/>
      <c r="I151" s="22"/>
    </row>
    <row r="152" spans="1:10" ht="42.6" customHeight="1" x14ac:dyDescent="0.25">
      <c r="A152" s="41" t="s">
        <v>161</v>
      </c>
      <c r="B152" s="37" t="s">
        <v>162</v>
      </c>
      <c r="C152" s="38">
        <v>26500</v>
      </c>
      <c r="D152" s="21" t="s">
        <v>25</v>
      </c>
      <c r="E152" s="10" t="s">
        <v>25</v>
      </c>
      <c r="F152" s="44">
        <f>F154+F155+F156</f>
        <v>12029442.420000004</v>
      </c>
      <c r="G152" s="44">
        <f>G154+G155+G156</f>
        <v>19203604.689999998</v>
      </c>
      <c r="H152" s="44">
        <f>H154+H155+H156</f>
        <v>18904984.009999998</v>
      </c>
      <c r="I152" s="22">
        <f>I153+I157</f>
        <v>0</v>
      </c>
    </row>
    <row r="153" spans="1:10" ht="15.6" customHeight="1" x14ac:dyDescent="0.25">
      <c r="A153" s="41"/>
      <c r="B153" s="37" t="s">
        <v>163</v>
      </c>
      <c r="C153" s="38">
        <v>26510</v>
      </c>
      <c r="D153" s="21"/>
      <c r="E153" s="10" t="s">
        <v>25</v>
      </c>
      <c r="F153" s="44"/>
      <c r="G153" s="44"/>
      <c r="H153" s="44"/>
      <c r="I153" s="22"/>
    </row>
    <row r="154" spans="1:10" ht="18.600000000000001" customHeight="1" x14ac:dyDescent="0.25">
      <c r="A154" s="41" t="s">
        <v>204</v>
      </c>
      <c r="B154" s="37"/>
      <c r="C154" s="38"/>
      <c r="D154" s="21">
        <v>2021</v>
      </c>
      <c r="E154" s="10"/>
      <c r="F154" s="44">
        <f>F132</f>
        <v>12029442.420000004</v>
      </c>
      <c r="G154" s="44">
        <v>3476243.24</v>
      </c>
      <c r="H154" s="44"/>
      <c r="I154" s="22"/>
    </row>
    <row r="155" spans="1:10" ht="19.899999999999999" customHeight="1" x14ac:dyDescent="0.25">
      <c r="A155" s="41" t="s">
        <v>205</v>
      </c>
      <c r="B155" s="37"/>
      <c r="C155" s="38"/>
      <c r="D155" s="21">
        <v>2022</v>
      </c>
      <c r="E155" s="10"/>
      <c r="F155" s="44"/>
      <c r="G155" s="44">
        <f>G132-G154-G156</f>
        <v>15727361.449999997</v>
      </c>
      <c r="H155" s="44"/>
      <c r="I155" s="22"/>
    </row>
    <row r="156" spans="1:10" ht="18" customHeight="1" x14ac:dyDescent="0.25">
      <c r="A156" s="41" t="s">
        <v>206</v>
      </c>
      <c r="B156" s="37"/>
      <c r="C156" s="38"/>
      <c r="D156" s="21">
        <v>2023</v>
      </c>
      <c r="E156" s="10"/>
      <c r="F156" s="44"/>
      <c r="G156" s="44"/>
      <c r="H156" s="44">
        <f>H132-H155-H154</f>
        <v>18904984.009999998</v>
      </c>
      <c r="I156" s="22"/>
    </row>
    <row r="157" spans="1:10" ht="16.899999999999999" customHeight="1" x14ac:dyDescent="0.25">
      <c r="A157" s="41"/>
      <c r="B157" s="37"/>
      <c r="C157" s="38"/>
      <c r="D157" s="21"/>
      <c r="E157" s="10" t="s">
        <v>25</v>
      </c>
      <c r="F157" s="22"/>
      <c r="G157" s="22"/>
      <c r="H157" s="22"/>
      <c r="I157" s="22"/>
    </row>
    <row r="158" spans="1:10" ht="39" x14ac:dyDescent="0.25">
      <c r="A158" s="41" t="s">
        <v>164</v>
      </c>
      <c r="B158" s="37" t="s">
        <v>165</v>
      </c>
      <c r="C158" s="38">
        <v>26600</v>
      </c>
      <c r="D158" s="21" t="s">
        <v>25</v>
      </c>
      <c r="E158" s="10" t="s">
        <v>25</v>
      </c>
      <c r="F158" s="44">
        <f>F159+F160</f>
        <v>0</v>
      </c>
      <c r="G158" s="44">
        <f>G159+G160</f>
        <v>0</v>
      </c>
      <c r="H158" s="44">
        <f>H159+H160</f>
        <v>0</v>
      </c>
      <c r="I158" s="22">
        <f>I159+I160</f>
        <v>0</v>
      </c>
    </row>
    <row r="159" spans="1:10" x14ac:dyDescent="0.25">
      <c r="A159" s="41"/>
      <c r="B159" s="37" t="s">
        <v>163</v>
      </c>
      <c r="C159" s="38">
        <v>26610</v>
      </c>
      <c r="D159" s="21"/>
      <c r="E159" s="10" t="s">
        <v>25</v>
      </c>
      <c r="F159" s="22"/>
      <c r="G159" s="22"/>
      <c r="H159" s="22"/>
      <c r="I159" s="22"/>
    </row>
    <row r="160" spans="1:10" x14ac:dyDescent="0.25">
      <c r="A160" s="41"/>
      <c r="B160" s="37"/>
      <c r="C160" s="21"/>
      <c r="D160" s="21"/>
      <c r="E160" s="10" t="s">
        <v>25</v>
      </c>
      <c r="F160" s="22"/>
      <c r="G160" s="22"/>
      <c r="H160" s="22"/>
      <c r="I160" s="22"/>
    </row>
    <row r="161" spans="1:10" ht="6.75" customHeight="1" x14ac:dyDescent="0.25">
      <c r="A161" s="33"/>
      <c r="B161" s="32"/>
      <c r="C161" s="34"/>
      <c r="D161" s="34"/>
      <c r="E161" s="34"/>
      <c r="F161" s="34"/>
      <c r="G161" s="34"/>
      <c r="H161" s="34"/>
      <c r="I161" s="32"/>
    </row>
    <row r="162" spans="1:10" x14ac:dyDescent="0.25">
      <c r="A162" s="63"/>
      <c r="B162" s="5"/>
      <c r="C162" s="64"/>
      <c r="D162" s="64"/>
      <c r="E162" s="64"/>
      <c r="F162" s="64"/>
      <c r="G162" s="64"/>
      <c r="H162" s="64"/>
      <c r="I162" s="5"/>
    </row>
    <row r="163" spans="1:10" x14ac:dyDescent="0.25">
      <c r="A163" s="65" t="s">
        <v>227</v>
      </c>
      <c r="D163" s="66"/>
      <c r="E163" s="55"/>
      <c r="F163" s="124" t="s">
        <v>208</v>
      </c>
      <c r="G163" s="124"/>
    </row>
    <row r="164" spans="1:10" x14ac:dyDescent="0.25">
      <c r="B164" s="1"/>
      <c r="C164" s="1"/>
      <c r="D164" s="67" t="s">
        <v>166</v>
      </c>
      <c r="F164" s="125" t="s">
        <v>167</v>
      </c>
      <c r="G164" s="125"/>
    </row>
    <row r="165" spans="1:10" x14ac:dyDescent="0.25">
      <c r="B165" s="1"/>
      <c r="C165" s="1"/>
      <c r="D165" s="1"/>
      <c r="E165" s="1"/>
      <c r="F165" s="1"/>
      <c r="G165" s="68"/>
    </row>
    <row r="166" spans="1:10" x14ac:dyDescent="0.25">
      <c r="A166" s="65"/>
      <c r="D166" s="66"/>
      <c r="E166" s="55"/>
      <c r="F166" s="124" t="s">
        <v>168</v>
      </c>
      <c r="G166" s="124"/>
    </row>
    <row r="167" spans="1:10" ht="13.5" customHeight="1" x14ac:dyDescent="0.25">
      <c r="A167" s="1" t="s">
        <v>169</v>
      </c>
      <c r="B167" s="1"/>
      <c r="C167" s="1"/>
      <c r="D167" s="67" t="s">
        <v>166</v>
      </c>
      <c r="F167" s="125" t="s">
        <v>167</v>
      </c>
      <c r="G167" s="125"/>
    </row>
    <row r="168" spans="1:10" hidden="1" x14ac:dyDescent="0.25">
      <c r="A168" s="65"/>
    </row>
    <row r="169" spans="1:10" ht="1.5" hidden="1" customHeight="1" x14ac:dyDescent="0.3">
      <c r="A169" s="65"/>
      <c r="H169" s="69"/>
      <c r="I169" s="69"/>
      <c r="J169"/>
    </row>
    <row r="170" spans="1:10" ht="17.25" customHeight="1" x14ac:dyDescent="0.3">
      <c r="A170" s="70"/>
      <c r="B170" s="69"/>
      <c r="C170" s="69"/>
      <c r="H170" s="69"/>
      <c r="I170" s="69"/>
      <c r="J170"/>
    </row>
    <row r="171" spans="1:10" ht="18.75" hidden="1" x14ac:dyDescent="0.3">
      <c r="A171" s="70"/>
      <c r="B171" s="69"/>
      <c r="C171" s="69"/>
      <c r="D171" s="69"/>
      <c r="E171" s="69"/>
      <c r="F171" s="71"/>
      <c r="H171" s="69"/>
      <c r="I171" s="69"/>
      <c r="J171"/>
    </row>
    <row r="172" spans="1:10" ht="45.75" customHeight="1" x14ac:dyDescent="0.3">
      <c r="A172" s="72" t="s">
        <v>232</v>
      </c>
      <c r="B172" s="72"/>
      <c r="C172" s="72"/>
      <c r="D172" s="72"/>
      <c r="E172" s="69"/>
      <c r="F172" s="71"/>
      <c r="H172" s="69"/>
      <c r="I172" s="69"/>
      <c r="J172"/>
    </row>
    <row r="173" spans="1:10" ht="15.75" customHeight="1" x14ac:dyDescent="0.3">
      <c r="A173" s="108" t="s">
        <v>170</v>
      </c>
      <c r="B173" s="108"/>
      <c r="C173" s="108"/>
      <c r="D173" s="108"/>
      <c r="E173" s="73"/>
      <c r="H173" s="69"/>
      <c r="I173" s="69"/>
      <c r="J173"/>
    </row>
    <row r="174" spans="1:10" x14ac:dyDescent="0.25">
      <c r="A174" s="108"/>
      <c r="B174" s="108"/>
      <c r="C174" s="108"/>
      <c r="D174" s="108"/>
      <c r="E174" s="108"/>
      <c r="H174" s="5"/>
      <c r="I174" s="5"/>
    </row>
    <row r="175" spans="1:10" x14ac:dyDescent="0.25">
      <c r="C175" s="5"/>
      <c r="D175" s="5"/>
      <c r="E175" s="5"/>
      <c r="H175" s="5"/>
      <c r="I175" s="5"/>
    </row>
    <row r="176" spans="1:10" x14ac:dyDescent="0.25">
      <c r="A176" s="2"/>
      <c r="H176" s="5"/>
      <c r="I176" s="5"/>
    </row>
    <row r="177" spans="3:9" x14ac:dyDescent="0.25">
      <c r="H177" s="5"/>
      <c r="I177" s="5"/>
    </row>
    <row r="178" spans="3:9" x14ac:dyDescent="0.25">
      <c r="C178" s="5"/>
      <c r="D178" s="5"/>
      <c r="E178" s="5"/>
      <c r="F178" s="5"/>
      <c r="G178" s="5"/>
      <c r="H178" s="5"/>
      <c r="I178" s="5"/>
    </row>
    <row r="179" spans="3:9" x14ac:dyDescent="0.25">
      <c r="C179" s="5"/>
      <c r="D179" s="5"/>
      <c r="E179" s="5"/>
      <c r="F179" s="5"/>
      <c r="G179" s="5"/>
      <c r="H179" s="5"/>
      <c r="I179" s="5"/>
    </row>
    <row r="180" spans="3:9" x14ac:dyDescent="0.25">
      <c r="C180" s="5"/>
      <c r="D180" s="5"/>
      <c r="E180" s="5"/>
      <c r="F180" s="5"/>
      <c r="G180" s="5"/>
      <c r="H180" s="5"/>
      <c r="I180" s="5"/>
    </row>
    <row r="181" spans="3:9" x14ac:dyDescent="0.25">
      <c r="C181" s="5"/>
      <c r="D181" s="5"/>
      <c r="E181" s="5"/>
      <c r="F181" s="5"/>
      <c r="G181" s="5"/>
      <c r="H181" s="5"/>
      <c r="I181" s="5"/>
    </row>
    <row r="182" spans="3:9" x14ac:dyDescent="0.25">
      <c r="C182" s="5"/>
      <c r="D182" s="5"/>
      <c r="E182" s="5"/>
      <c r="F182" s="5"/>
      <c r="G182" s="5"/>
      <c r="H182" s="5"/>
      <c r="I182" s="5"/>
    </row>
    <row r="183" spans="3:9" x14ac:dyDescent="0.25">
      <c r="C183" s="5"/>
      <c r="D183" s="5"/>
      <c r="E183" s="5"/>
      <c r="F183" s="5"/>
      <c r="G183" s="5"/>
      <c r="H183" s="5"/>
      <c r="I183" s="5"/>
    </row>
    <row r="184" spans="3:9" x14ac:dyDescent="0.25">
      <c r="C184" s="5"/>
      <c r="D184" s="5"/>
      <c r="E184" s="5"/>
      <c r="F184" s="5"/>
      <c r="G184" s="5"/>
      <c r="H184" s="5"/>
      <c r="I184" s="5"/>
    </row>
    <row r="185" spans="3:9" x14ac:dyDescent="0.25">
      <c r="C185" s="5"/>
      <c r="D185" s="5"/>
      <c r="E185" s="5"/>
      <c r="F185" s="5"/>
      <c r="G185" s="5"/>
      <c r="H185" s="5"/>
      <c r="I185" s="5"/>
    </row>
    <row r="186" spans="3:9" x14ac:dyDescent="0.25">
      <c r="C186" s="5"/>
      <c r="D186" s="5"/>
      <c r="E186" s="5"/>
      <c r="F186" s="5"/>
      <c r="G186" s="5"/>
      <c r="H186" s="5"/>
      <c r="I186" s="5"/>
    </row>
    <row r="187" spans="3:9" x14ac:dyDescent="0.25">
      <c r="C187" s="5"/>
      <c r="D187" s="5"/>
      <c r="E187" s="5"/>
      <c r="F187" s="5"/>
      <c r="G187" s="5"/>
      <c r="H187" s="5"/>
      <c r="I187" s="5"/>
    </row>
    <row r="188" spans="3:9" x14ac:dyDescent="0.25">
      <c r="C188" s="5"/>
      <c r="D188" s="5"/>
      <c r="E188" s="5"/>
      <c r="F188" s="5"/>
      <c r="G188" s="5"/>
      <c r="H188" s="5"/>
      <c r="I188" s="5"/>
    </row>
    <row r="189" spans="3:9" x14ac:dyDescent="0.25">
      <c r="E189" s="5"/>
    </row>
  </sheetData>
  <mergeCells count="120">
    <mergeCell ref="I122:I123"/>
    <mergeCell ref="F163:G163"/>
    <mergeCell ref="F164:G164"/>
    <mergeCell ref="F166:G166"/>
    <mergeCell ref="F167:G167"/>
    <mergeCell ref="A115:B115"/>
    <mergeCell ref="A116:B116"/>
    <mergeCell ref="A117:B117"/>
    <mergeCell ref="A119:H119"/>
    <mergeCell ref="A121:A123"/>
    <mergeCell ref="B121:B123"/>
    <mergeCell ref="C121:C123"/>
    <mergeCell ref="D121:D123"/>
    <mergeCell ref="E121:E123"/>
    <mergeCell ref="F121:I121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15:F16"/>
    <mergeCell ref="A18:F19"/>
    <mergeCell ref="A20:B20"/>
    <mergeCell ref="A22:B24"/>
    <mergeCell ref="C22:C24"/>
    <mergeCell ref="D22:D24"/>
    <mergeCell ref="E22:E24"/>
    <mergeCell ref="F22:I22"/>
    <mergeCell ref="I23:I24"/>
    <mergeCell ref="H1:I1"/>
    <mergeCell ref="F2:I2"/>
    <mergeCell ref="F3:I4"/>
    <mergeCell ref="A9:I9"/>
    <mergeCell ref="A10:I10"/>
    <mergeCell ref="B13:H13"/>
    <mergeCell ref="A25:B25"/>
    <mergeCell ref="A26:B26"/>
    <mergeCell ref="A27:B27"/>
  </mergeCells>
  <pageMargins left="0.31496062992125984" right="0.11811023622047245" top="0.74803149606299213" bottom="0.74803149606299213" header="0" footer="0"/>
  <pageSetup paperSize="9" scale="8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19.08.2022 г.  </vt:lpstr>
      <vt:lpstr>15.07.2022 г. </vt:lpstr>
      <vt:lpstr>15.06.2022 г.</vt:lpstr>
      <vt:lpstr>18.04.2022 г.</vt:lpstr>
      <vt:lpstr>16.03.2022 г.</vt:lpstr>
      <vt:lpstr>24.02.2022 г. </vt:lpstr>
      <vt:lpstr>26.01.2022 г.</vt:lpstr>
      <vt:lpstr>25.01.2022 г.</vt:lpstr>
      <vt:lpstr>17.01.2022 г.</vt:lpstr>
      <vt:lpstr>24.12.2021 г.</vt:lpstr>
      <vt:lpstr>23.11.2021 г.</vt:lpstr>
      <vt:lpstr>15.10.2021 г.</vt:lpstr>
      <vt:lpstr>20.09.2021 г.</vt:lpstr>
      <vt:lpstr>24.05.2021 г.  </vt:lpstr>
      <vt:lpstr>22.04.2021 г. </vt:lpstr>
      <vt:lpstr>23.03.2021 г.</vt:lpstr>
      <vt:lpstr>двигала сметы вне сессии</vt:lpstr>
      <vt:lpstr>15.01.2021</vt:lpstr>
      <vt:lpstr>2021</vt:lpstr>
      <vt:lpstr>'15.01.2021'!Область_печати</vt:lpstr>
      <vt:lpstr>'15.06.2022 г.'!Область_печати</vt:lpstr>
      <vt:lpstr>'15.07.2022 г. '!Область_печати</vt:lpstr>
      <vt:lpstr>'15.10.2021 г.'!Область_печати</vt:lpstr>
      <vt:lpstr>'16.03.2022 г.'!Область_печати</vt:lpstr>
      <vt:lpstr>'17.01.2022 г.'!Область_печати</vt:lpstr>
      <vt:lpstr>'18.04.2022 г.'!Область_печати</vt:lpstr>
      <vt:lpstr>'19.08.2022 г.  '!Область_печати</vt:lpstr>
      <vt:lpstr>'20.09.2021 г.'!Область_печати</vt:lpstr>
      <vt:lpstr>'2021'!Область_печати</vt:lpstr>
      <vt:lpstr>'22.04.2021 г. '!Область_печати</vt:lpstr>
      <vt:lpstr>'23.03.2021 г.'!Область_печати</vt:lpstr>
      <vt:lpstr>'23.11.2021 г.'!Область_печати</vt:lpstr>
      <vt:lpstr>'24.02.2022 г. '!Область_печати</vt:lpstr>
      <vt:lpstr>'24.05.2021 г.  '!Область_печати</vt:lpstr>
      <vt:lpstr>'24.12.2021 г.'!Область_печати</vt:lpstr>
      <vt:lpstr>'25.01.2022 г.'!Область_печати</vt:lpstr>
      <vt:lpstr>'26.01.2022 г.'!Область_печати</vt:lpstr>
      <vt:lpstr>'двигала сметы вне сессии'!Область_печати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planov3</dc:creator>
  <cp:lastModifiedBy>Директор</cp:lastModifiedBy>
  <cp:lastPrinted>2022-08-19T11:15:00Z</cp:lastPrinted>
  <dcterms:created xsi:type="dcterms:W3CDTF">2020-05-08T10:17:36Z</dcterms:created>
  <dcterms:modified xsi:type="dcterms:W3CDTF">2022-08-19T11:15:30Z</dcterms:modified>
</cp:coreProperties>
</file>